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7243\Documents\PQs\National Assembly PQs\6 July PQs\"/>
    </mc:Choice>
  </mc:AlternateContent>
  <xr:revisionPtr revIDLastSave="0" documentId="8_{BDD252D1-257C-4897-BDAA-CC94389F9253}" xr6:coauthVersionLast="47" xr6:coauthVersionMax="47" xr10:uidLastSave="{00000000-0000-0000-0000-000000000000}"/>
  <bookViews>
    <workbookView xWindow="-110" yWindow="-110" windowWidth="19420" windowHeight="10420" activeTab="4" xr2:uid="{00000000-000D-0000-FFFF-FFFF00000000}"/>
  </bookViews>
  <sheets>
    <sheet name="A, H and I" sheetId="1" r:id="rId1"/>
    <sheet name="B_SRD" sheetId="4" r:id="rId2"/>
    <sheet name="C_School fee subsidies" sheetId="7" r:id="rId3"/>
    <sheet name="D_NSFAS" sheetId="9" r:id="rId4"/>
    <sheet name="E, F, G_FBS" sheetId="8" r:id="rId5"/>
    <sheet name="Item descriptions" sheetId="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7" i="8" l="1"/>
  <c r="Z7" i="8"/>
  <c r="AA7" i="8"/>
  <c r="AB7" i="8"/>
  <c r="AC7" i="8"/>
  <c r="AD7" i="8"/>
  <c r="AE7" i="8"/>
  <c r="AF7" i="8"/>
  <c r="AG7" i="8"/>
  <c r="AH7" i="8"/>
  <c r="Y6" i="8"/>
  <c r="Z6" i="8"/>
  <c r="AA6" i="8"/>
  <c r="AB6" i="8"/>
  <c r="AC6" i="8"/>
  <c r="AD6" i="8"/>
  <c r="AE6" i="8"/>
  <c r="AF6" i="8"/>
  <c r="AG6" i="8"/>
  <c r="AH6" i="8"/>
  <c r="U7" i="9"/>
  <c r="V7" i="9"/>
  <c r="W7" i="9"/>
  <c r="X7" i="9"/>
  <c r="Y7" i="9"/>
  <c r="Z7" i="9"/>
  <c r="AA7" i="9"/>
  <c r="AB7" i="9"/>
  <c r="AC7" i="9"/>
  <c r="AD7" i="9"/>
  <c r="U6" i="9"/>
  <c r="V6" i="9"/>
  <c r="W6" i="9"/>
  <c r="X6" i="9"/>
  <c r="Y6" i="9"/>
  <c r="Z6" i="9"/>
  <c r="AA6" i="9"/>
  <c r="AB6" i="9"/>
  <c r="AC6" i="9"/>
  <c r="AD6" i="9"/>
  <c r="J7" i="7"/>
  <c r="K7" i="7"/>
  <c r="L7" i="7"/>
  <c r="M7" i="7"/>
  <c r="N7" i="7"/>
  <c r="O7" i="7"/>
  <c r="P7" i="7"/>
  <c r="Q7" i="7"/>
  <c r="J6" i="7"/>
  <c r="K6" i="7"/>
  <c r="L6" i="7"/>
  <c r="M6" i="7"/>
  <c r="N6" i="7"/>
  <c r="O6" i="7"/>
  <c r="P6" i="7"/>
  <c r="Q6" i="7"/>
  <c r="C15" i="4"/>
  <c r="D15" i="4"/>
  <c r="E15" i="4"/>
  <c r="G15" i="4"/>
  <c r="H15" i="4"/>
  <c r="I15" i="4"/>
  <c r="J15" i="4"/>
  <c r="K15" i="4"/>
  <c r="L15" i="4"/>
  <c r="C14" i="4"/>
  <c r="D14" i="4"/>
  <c r="E14" i="4"/>
  <c r="G14" i="4"/>
  <c r="H14" i="4"/>
  <c r="I14" i="4"/>
  <c r="J14" i="4"/>
  <c r="K14" i="4"/>
  <c r="L14" i="4"/>
  <c r="N35" i="8" l="1"/>
  <c r="M35" i="8"/>
  <c r="L35" i="8"/>
  <c r="K35" i="8"/>
  <c r="J35" i="8"/>
  <c r="I35" i="8"/>
  <c r="H35" i="8"/>
  <c r="G35" i="8"/>
  <c r="F35" i="8"/>
  <c r="E35" i="8"/>
  <c r="D35" i="8"/>
  <c r="N33" i="8"/>
  <c r="M33" i="8"/>
  <c r="L33" i="8"/>
  <c r="K33" i="8"/>
  <c r="J33" i="8"/>
  <c r="I33" i="8"/>
  <c r="H33" i="8"/>
  <c r="G33" i="8"/>
  <c r="F33" i="8"/>
  <c r="E33" i="8"/>
  <c r="D33" i="8"/>
  <c r="N32" i="8"/>
  <c r="M32" i="8"/>
  <c r="L32" i="8"/>
  <c r="K32" i="8"/>
  <c r="J32" i="8"/>
  <c r="I32" i="8"/>
  <c r="H32" i="8"/>
  <c r="G32" i="8"/>
  <c r="F32" i="8"/>
  <c r="E32" i="8"/>
  <c r="D32" i="8"/>
  <c r="N31" i="8"/>
  <c r="M31" i="8"/>
  <c r="L31" i="8"/>
  <c r="K31" i="8"/>
  <c r="J31" i="8"/>
  <c r="I31" i="8"/>
  <c r="H31" i="8"/>
  <c r="G31" i="8"/>
  <c r="F31" i="8"/>
  <c r="E31" i="8"/>
  <c r="D31" i="8"/>
  <c r="AH30" i="8"/>
  <c r="AH34" i="8" s="1"/>
  <c r="AG30" i="8"/>
  <c r="AG35" i="8" s="1"/>
  <c r="AF30" i="8"/>
  <c r="AE30" i="8"/>
  <c r="AE35" i="8" s="1"/>
  <c r="AD30" i="8"/>
  <c r="AD34" i="8" s="1"/>
  <c r="AC30" i="8"/>
  <c r="AB30" i="8"/>
  <c r="AA30" i="8"/>
  <c r="Z30" i="8"/>
  <c r="Z34" i="8" s="1"/>
  <c r="Y30" i="8"/>
  <c r="Y34" i="8" s="1"/>
  <c r="X30" i="8"/>
  <c r="W30" i="8"/>
  <c r="V30" i="8"/>
  <c r="U30" i="8"/>
  <c r="T30" i="8"/>
  <c r="S30" i="8"/>
  <c r="R30" i="8"/>
  <c r="Q30" i="8"/>
  <c r="P30" i="8"/>
  <c r="O30" i="8"/>
  <c r="N28" i="8"/>
  <c r="M28" i="8"/>
  <c r="L28" i="8"/>
  <c r="K28" i="8"/>
  <c r="J28" i="8"/>
  <c r="I28" i="8"/>
  <c r="H28" i="8"/>
  <c r="G28" i="8"/>
  <c r="F28" i="8"/>
  <c r="E28" i="8"/>
  <c r="D28" i="8"/>
  <c r="N26" i="8"/>
  <c r="M26" i="8"/>
  <c r="L26" i="8"/>
  <c r="K26" i="8"/>
  <c r="J26" i="8"/>
  <c r="I26" i="8"/>
  <c r="H26" i="8"/>
  <c r="G26" i="8"/>
  <c r="F26" i="8"/>
  <c r="E26" i="8"/>
  <c r="D26" i="8"/>
  <c r="N25" i="8"/>
  <c r="M25" i="8"/>
  <c r="L25" i="8"/>
  <c r="K25" i="8"/>
  <c r="J25" i="8"/>
  <c r="I25" i="8"/>
  <c r="H25" i="8"/>
  <c r="G25" i="8"/>
  <c r="F25" i="8"/>
  <c r="E25" i="8"/>
  <c r="D25" i="8"/>
  <c r="N24" i="8"/>
  <c r="M24" i="8"/>
  <c r="L24" i="8"/>
  <c r="K24" i="8"/>
  <c r="J24" i="8"/>
  <c r="I24" i="8"/>
  <c r="H24" i="8"/>
  <c r="G24" i="8"/>
  <c r="F24" i="8"/>
  <c r="E24" i="8"/>
  <c r="D24" i="8"/>
  <c r="AH23" i="8"/>
  <c r="AH27" i="8" s="1"/>
  <c r="AG23" i="8"/>
  <c r="AF23" i="8"/>
  <c r="AF27" i="8" s="1"/>
  <c r="AE23" i="8"/>
  <c r="AE27" i="8" s="1"/>
  <c r="AD23" i="8"/>
  <c r="AD27" i="8" s="1"/>
  <c r="AC23" i="8"/>
  <c r="AB23" i="8"/>
  <c r="AA23" i="8"/>
  <c r="AA27" i="8" s="1"/>
  <c r="Z23" i="8"/>
  <c r="Z27" i="8" s="1"/>
  <c r="Y23" i="8"/>
  <c r="X23" i="8"/>
  <c r="W23" i="8"/>
  <c r="V23" i="8"/>
  <c r="U23" i="8"/>
  <c r="T23" i="8"/>
  <c r="S23" i="8"/>
  <c r="N21" i="8"/>
  <c r="M21" i="8"/>
  <c r="L21" i="8"/>
  <c r="K21" i="8"/>
  <c r="J21" i="8"/>
  <c r="I21" i="8"/>
  <c r="H21" i="8"/>
  <c r="G21" i="8"/>
  <c r="F21" i="8"/>
  <c r="E21" i="8"/>
  <c r="D21" i="8"/>
  <c r="N19" i="8"/>
  <c r="M19" i="8"/>
  <c r="L19" i="8"/>
  <c r="K19" i="8"/>
  <c r="J19" i="8"/>
  <c r="I19" i="8"/>
  <c r="H19" i="8"/>
  <c r="G19" i="8"/>
  <c r="F19" i="8"/>
  <c r="E19" i="8"/>
  <c r="D19" i="8"/>
  <c r="N18" i="8"/>
  <c r="M18" i="8"/>
  <c r="L18" i="8"/>
  <c r="K18" i="8"/>
  <c r="J18" i="8"/>
  <c r="I18" i="8"/>
  <c r="H18" i="8"/>
  <c r="G18" i="8"/>
  <c r="F18" i="8"/>
  <c r="E18" i="8"/>
  <c r="D18" i="8"/>
  <c r="N17" i="8"/>
  <c r="M17" i="8"/>
  <c r="L17" i="8"/>
  <c r="K17" i="8"/>
  <c r="J17" i="8"/>
  <c r="I17" i="8"/>
  <c r="H17" i="8"/>
  <c r="G17" i="8"/>
  <c r="F17" i="8"/>
  <c r="E17" i="8"/>
  <c r="D17" i="8"/>
  <c r="AH16" i="8"/>
  <c r="AH20" i="8" s="1"/>
  <c r="AG16" i="8"/>
  <c r="AF16" i="8"/>
  <c r="AE16" i="8"/>
  <c r="AE20" i="8" s="1"/>
  <c r="AD16" i="8"/>
  <c r="AD20" i="8" s="1"/>
  <c r="AC16" i="8"/>
  <c r="AB16" i="8"/>
  <c r="AB20" i="8" s="1"/>
  <c r="AA16" i="8"/>
  <c r="AA20" i="8" s="1"/>
  <c r="Z16" i="8"/>
  <c r="Y16" i="8"/>
  <c r="X16" i="8"/>
  <c r="W16" i="8"/>
  <c r="V16" i="8"/>
  <c r="U16" i="8"/>
  <c r="T16" i="8"/>
  <c r="S16" i="8"/>
  <c r="R16" i="8"/>
  <c r="Q16" i="8"/>
  <c r="P16" i="8"/>
  <c r="O16" i="8"/>
  <c r="N14" i="8"/>
  <c r="M14" i="8"/>
  <c r="L14" i="8"/>
  <c r="K14" i="8"/>
  <c r="J14" i="8"/>
  <c r="I14" i="8"/>
  <c r="H14" i="8"/>
  <c r="G14" i="8"/>
  <c r="F14" i="8"/>
  <c r="E14" i="8"/>
  <c r="D14" i="8"/>
  <c r="N12" i="8"/>
  <c r="M12" i="8"/>
  <c r="L12" i="8"/>
  <c r="K12" i="8"/>
  <c r="J12" i="8"/>
  <c r="I12" i="8"/>
  <c r="H12" i="8"/>
  <c r="G12" i="8"/>
  <c r="F12" i="8"/>
  <c r="E12" i="8"/>
  <c r="D12" i="8"/>
  <c r="N11" i="8"/>
  <c r="M11" i="8"/>
  <c r="L11" i="8"/>
  <c r="K11" i="8"/>
  <c r="J11" i="8"/>
  <c r="I11" i="8"/>
  <c r="H11" i="8"/>
  <c r="G11" i="8"/>
  <c r="F11" i="8"/>
  <c r="E11" i="8"/>
  <c r="D11" i="8"/>
  <c r="N10" i="8"/>
  <c r="M10" i="8"/>
  <c r="L10" i="8"/>
  <c r="K10" i="8"/>
  <c r="J10" i="8"/>
  <c r="I10" i="8"/>
  <c r="H10" i="8"/>
  <c r="G10" i="8"/>
  <c r="F10" i="8"/>
  <c r="E10" i="8"/>
  <c r="D10" i="8"/>
  <c r="AH9" i="8"/>
  <c r="AH13" i="8" s="1"/>
  <c r="AG9" i="8"/>
  <c r="AF9" i="8"/>
  <c r="AF13" i="8" s="1"/>
  <c r="AE9" i="8"/>
  <c r="AE13" i="8" s="1"/>
  <c r="AD9" i="8"/>
  <c r="AD13" i="8" s="1"/>
  <c r="AC9" i="8"/>
  <c r="AB9" i="8"/>
  <c r="AB13" i="8" s="1"/>
  <c r="AA9" i="8"/>
  <c r="AA13" i="8" s="1"/>
  <c r="Z9" i="8"/>
  <c r="Z13" i="8" s="1"/>
  <c r="Y9" i="8"/>
  <c r="X9" i="8"/>
  <c r="W9" i="8"/>
  <c r="V9" i="8"/>
  <c r="U9" i="8"/>
  <c r="T9" i="8"/>
  <c r="S9" i="8"/>
  <c r="R9" i="8"/>
  <c r="Q9" i="8"/>
  <c r="P9" i="8"/>
  <c r="O9" i="8"/>
  <c r="AH5" i="8"/>
  <c r="AG5" i="8"/>
  <c r="AG33" i="8" s="1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O33" i="8" s="1"/>
  <c r="AH4" i="8"/>
  <c r="AG4" i="8"/>
  <c r="AF4" i="8"/>
  <c r="AE4" i="8"/>
  <c r="AD4" i="8"/>
  <c r="AC4" i="8"/>
  <c r="AB4" i="8"/>
  <c r="AA4" i="8"/>
  <c r="AA32" i="8" s="1"/>
  <c r="Z4" i="8"/>
  <c r="Y4" i="8"/>
  <c r="X4" i="8"/>
  <c r="W4" i="8"/>
  <c r="V4" i="8"/>
  <c r="U4" i="8"/>
  <c r="U32" i="8" s="1"/>
  <c r="T4" i="8"/>
  <c r="S4" i="8"/>
  <c r="R4" i="8"/>
  <c r="Q4" i="8"/>
  <c r="P4" i="8"/>
  <c r="O4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 a="1"/>
  <c r="O3" i="8" s="1"/>
  <c r="AF34" i="8" l="1"/>
  <c r="AG27" i="8"/>
  <c r="Y27" i="8"/>
  <c r="AA34" i="8"/>
  <c r="AA17" i="8"/>
  <c r="AB27" i="8"/>
  <c r="AB34" i="8"/>
  <c r="AC20" i="8"/>
  <c r="AG34" i="8"/>
  <c r="AG32" i="8"/>
  <c r="Y13" i="8"/>
  <c r="AG13" i="8"/>
  <c r="AG20" i="8"/>
  <c r="AC27" i="8"/>
  <c r="AC34" i="8"/>
  <c r="AC13" i="8"/>
  <c r="O32" i="8"/>
  <c r="Y20" i="8"/>
  <c r="AE34" i="8"/>
  <c r="R12" i="8"/>
  <c r="AD14" i="8"/>
  <c r="Z18" i="8"/>
  <c r="AF18" i="8"/>
  <c r="Z35" i="8"/>
  <c r="AF20" i="8"/>
  <c r="Z20" i="8"/>
  <c r="Y21" i="8"/>
  <c r="V31" i="8"/>
  <c r="P31" i="8"/>
  <c r="Z17" i="8"/>
  <c r="P33" i="8"/>
  <c r="V33" i="8"/>
  <c r="AB33" i="8"/>
  <c r="AH33" i="8"/>
  <c r="S18" i="8"/>
  <c r="AE18" i="8"/>
  <c r="AA28" i="8"/>
  <c r="AG28" i="8"/>
  <c r="AB32" i="8"/>
  <c r="AH32" i="8"/>
  <c r="T17" i="8"/>
  <c r="V32" i="8"/>
  <c r="R19" i="8"/>
  <c r="X26" i="8"/>
  <c r="W10" i="8"/>
  <c r="AE11" i="8"/>
  <c r="AF25" i="8"/>
  <c r="P32" i="8"/>
  <c r="AD26" i="8"/>
  <c r="Q19" i="8"/>
  <c r="T18" i="8"/>
  <c r="S12" i="8"/>
  <c r="AE12" i="8"/>
  <c r="T11" i="8"/>
  <c r="Z10" i="8"/>
  <c r="AF11" i="8"/>
  <c r="Y18" i="8"/>
  <c r="AE19" i="8"/>
  <c r="AA33" i="8"/>
  <c r="AA35" i="8"/>
  <c r="S31" i="8"/>
  <c r="Y31" i="8"/>
  <c r="AE31" i="8"/>
  <c r="P11" i="8"/>
  <c r="AB11" i="8"/>
  <c r="V26" i="8"/>
  <c r="AB26" i="8"/>
  <c r="AH26" i="8"/>
  <c r="AB31" i="8"/>
  <c r="W26" i="8"/>
  <c r="AC26" i="8"/>
  <c r="AH31" i="8"/>
  <c r="W19" i="8"/>
  <c r="AC19" i="8"/>
  <c r="X12" i="8"/>
  <c r="Z21" i="8"/>
  <c r="Y11" i="8"/>
  <c r="X19" i="8"/>
  <c r="AD21" i="8"/>
  <c r="AH35" i="8"/>
  <c r="AB35" i="8"/>
  <c r="Z11" i="8"/>
  <c r="W32" i="8"/>
  <c r="AF10" i="8"/>
  <c r="U12" i="8"/>
  <c r="AF17" i="8"/>
  <c r="AB24" i="8"/>
  <c r="Q12" i="8"/>
  <c r="AC12" i="8"/>
  <c r="S11" i="8"/>
  <c r="AD19" i="8"/>
  <c r="AC24" i="8"/>
  <c r="T32" i="8"/>
  <c r="Z32" i="8"/>
  <c r="AC17" i="8"/>
  <c r="Y19" i="8"/>
  <c r="X24" i="8"/>
  <c r="AD24" i="8"/>
  <c r="AE21" i="8"/>
  <c r="AC32" i="8"/>
  <c r="T10" i="8"/>
  <c r="V24" i="8"/>
  <c r="AC21" i="8"/>
  <c r="Q32" i="8"/>
  <c r="W12" i="8"/>
  <c r="AF32" i="8"/>
  <c r="Q17" i="8"/>
  <c r="W17" i="8"/>
  <c r="AD12" i="8"/>
  <c r="AE25" i="8"/>
  <c r="AH24" i="8"/>
  <c r="U31" i="8"/>
  <c r="AA31" i="8"/>
  <c r="AG31" i="8"/>
  <c r="U33" i="8"/>
  <c r="AF35" i="8"/>
  <c r="AB28" i="8"/>
  <c r="AH28" i="8"/>
  <c r="S26" i="8"/>
  <c r="S24" i="8"/>
  <c r="X31" i="8"/>
  <c r="X32" i="8"/>
  <c r="X33" i="8"/>
  <c r="AG11" i="8"/>
  <c r="AG14" i="8"/>
  <c r="S10" i="8"/>
  <c r="Y10" i="8"/>
  <c r="AE10" i="8"/>
  <c r="U10" i="8"/>
  <c r="AG10" i="8"/>
  <c r="AG12" i="8"/>
  <c r="AC14" i="8"/>
  <c r="S17" i="8"/>
  <c r="Y17" i="8"/>
  <c r="AE17" i="8"/>
  <c r="AD28" i="8"/>
  <c r="Q31" i="8"/>
  <c r="U11" i="8"/>
  <c r="Y28" i="8"/>
  <c r="Y26" i="8"/>
  <c r="Y24" i="8"/>
  <c r="R31" i="8"/>
  <c r="R32" i="8"/>
  <c r="R33" i="8"/>
  <c r="AD31" i="8"/>
  <c r="AD35" i="8"/>
  <c r="AD32" i="8"/>
  <c r="AD33" i="8"/>
  <c r="AA11" i="8"/>
  <c r="AA14" i="8"/>
  <c r="Y12" i="8"/>
  <c r="U18" i="8"/>
  <c r="U19" i="8"/>
  <c r="S33" i="8"/>
  <c r="AE28" i="8"/>
  <c r="AE26" i="8"/>
  <c r="AE24" i="8"/>
  <c r="O11" i="8"/>
  <c r="O18" i="8"/>
  <c r="O19" i="8"/>
  <c r="AA18" i="8"/>
  <c r="AA19" i="8"/>
  <c r="AA21" i="8"/>
  <c r="AG18" i="8"/>
  <c r="AG19" i="8"/>
  <c r="AG21" i="8"/>
  <c r="T26" i="8"/>
  <c r="T24" i="8"/>
  <c r="Z26" i="8"/>
  <c r="Z24" i="8"/>
  <c r="AF26" i="8"/>
  <c r="AF24" i="8"/>
  <c r="S25" i="8"/>
  <c r="Z28" i="8"/>
  <c r="Y33" i="8"/>
  <c r="W31" i="8"/>
  <c r="T19" i="8"/>
  <c r="T12" i="8"/>
  <c r="T33" i="8"/>
  <c r="Z19" i="8"/>
  <c r="Z12" i="8"/>
  <c r="Z33" i="8"/>
  <c r="AF19" i="8"/>
  <c r="AF12" i="8"/>
  <c r="AF33" i="8"/>
  <c r="P10" i="8"/>
  <c r="P12" i="8"/>
  <c r="V10" i="8"/>
  <c r="V12" i="8"/>
  <c r="AB10" i="8"/>
  <c r="AB14" i="8"/>
  <c r="AB12" i="8"/>
  <c r="AH10" i="8"/>
  <c r="AH14" i="8"/>
  <c r="AH12" i="8"/>
  <c r="O10" i="8"/>
  <c r="AA10" i="8"/>
  <c r="V11" i="8"/>
  <c r="AH11" i="8"/>
  <c r="O12" i="8"/>
  <c r="AA12" i="8"/>
  <c r="P17" i="8"/>
  <c r="P18" i="8"/>
  <c r="P19" i="8"/>
  <c r="V17" i="8"/>
  <c r="V18" i="8"/>
  <c r="V19" i="8"/>
  <c r="AB17" i="8"/>
  <c r="AB21" i="8"/>
  <c r="AB18" i="8"/>
  <c r="AB19" i="8"/>
  <c r="AH17" i="8"/>
  <c r="AH21" i="8"/>
  <c r="AH18" i="8"/>
  <c r="AH19" i="8"/>
  <c r="O17" i="8"/>
  <c r="AG17" i="8"/>
  <c r="S19" i="8"/>
  <c r="T25" i="8"/>
  <c r="AF28" i="8"/>
  <c r="Q10" i="8"/>
  <c r="AC10" i="8"/>
  <c r="Y25" i="8"/>
  <c r="O31" i="8"/>
  <c r="AC31" i="8"/>
  <c r="AF21" i="8"/>
  <c r="AF14" i="8"/>
  <c r="R11" i="8"/>
  <c r="R10" i="8"/>
  <c r="X11" i="8"/>
  <c r="X10" i="8"/>
  <c r="AD11" i="8"/>
  <c r="AD10" i="8"/>
  <c r="Z14" i="8"/>
  <c r="R18" i="8"/>
  <c r="X18" i="8"/>
  <c r="AD18" i="8"/>
  <c r="U17" i="8"/>
  <c r="AC28" i="8"/>
  <c r="W24" i="8"/>
  <c r="Z25" i="8"/>
  <c r="Q11" i="8"/>
  <c r="W11" i="8"/>
  <c r="AC11" i="8"/>
  <c r="R17" i="8"/>
  <c r="X17" i="8"/>
  <c r="AD17" i="8"/>
  <c r="Q18" i="8"/>
  <c r="W18" i="8"/>
  <c r="AC18" i="8"/>
  <c r="W25" i="8"/>
  <c r="AC25" i="8"/>
  <c r="T31" i="8"/>
  <c r="Z31" i="8"/>
  <c r="AF31" i="8"/>
  <c r="S32" i="8"/>
  <c r="Y32" i="8"/>
  <c r="AE32" i="8"/>
  <c r="AC35" i="8"/>
  <c r="V25" i="8"/>
  <c r="AB25" i="8"/>
  <c r="AH25" i="8"/>
  <c r="Q33" i="8"/>
  <c r="W33" i="8"/>
  <c r="AC33" i="8"/>
  <c r="U24" i="8"/>
  <c r="AA24" i="8"/>
  <c r="AG24" i="8"/>
  <c r="X25" i="8"/>
  <c r="AD25" i="8"/>
  <c r="U26" i="8"/>
  <c r="AA26" i="8"/>
  <c r="AG26" i="8"/>
  <c r="AE33" i="8"/>
  <c r="Y35" i="8"/>
  <c r="Y14" i="8"/>
  <c r="AE14" i="8"/>
  <c r="U25" i="8"/>
  <c r="AA25" i="8"/>
  <c r="AG25" i="8"/>
  <c r="D11" i="4" l="1"/>
  <c r="C11" i="4"/>
  <c r="F10" i="4"/>
  <c r="F9" i="4"/>
  <c r="F8" i="4"/>
  <c r="F7" i="4"/>
  <c r="F6" i="4"/>
  <c r="F5" i="4"/>
  <c r="L4" i="4"/>
  <c r="L11" i="4" s="1"/>
  <c r="K4" i="4"/>
  <c r="K11" i="4" s="1"/>
  <c r="J4" i="4"/>
  <c r="J11" i="4" s="1"/>
  <c r="I4" i="4"/>
  <c r="I11" i="4" s="1"/>
  <c r="H4" i="4"/>
  <c r="H11" i="4" s="1"/>
  <c r="G4" i="4"/>
  <c r="G11" i="4" s="1"/>
  <c r="F4" i="4"/>
  <c r="E4" i="4"/>
  <c r="E11" i="4" s="1"/>
  <c r="D34" i="1"/>
  <c r="E34" i="1"/>
  <c r="F34" i="1"/>
  <c r="G34" i="1"/>
  <c r="H34" i="1"/>
  <c r="I34" i="1"/>
  <c r="J34" i="1"/>
  <c r="K34" i="1"/>
  <c r="L34" i="1"/>
  <c r="C34" i="1"/>
  <c r="D33" i="1"/>
  <c r="E33" i="1"/>
  <c r="F33" i="1"/>
  <c r="G33" i="1"/>
  <c r="H33" i="1"/>
  <c r="I33" i="1"/>
  <c r="J33" i="1"/>
  <c r="K33" i="1"/>
  <c r="L33" i="1"/>
  <c r="C33" i="1"/>
  <c r="D32" i="1"/>
  <c r="E32" i="1"/>
  <c r="F32" i="1"/>
  <c r="G32" i="1"/>
  <c r="H32" i="1"/>
  <c r="I32" i="1"/>
  <c r="J32" i="1"/>
  <c r="K32" i="1"/>
  <c r="L32" i="1"/>
  <c r="C32" i="1"/>
  <c r="D31" i="1"/>
  <c r="E31" i="1"/>
  <c r="F31" i="1"/>
  <c r="G31" i="1"/>
  <c r="H31" i="1"/>
  <c r="I31" i="1"/>
  <c r="J31" i="1"/>
  <c r="K31" i="1"/>
  <c r="L31" i="1"/>
  <c r="C31" i="1"/>
  <c r="D30" i="1"/>
  <c r="E30" i="1"/>
  <c r="F30" i="1"/>
  <c r="G30" i="1"/>
  <c r="H30" i="1"/>
  <c r="I30" i="1"/>
  <c r="J30" i="1"/>
  <c r="K30" i="1"/>
  <c r="L30" i="1"/>
  <c r="C30" i="1"/>
  <c r="D29" i="1"/>
  <c r="E29" i="1"/>
  <c r="F29" i="1"/>
  <c r="G29" i="1"/>
  <c r="H29" i="1"/>
  <c r="I29" i="1"/>
  <c r="J29" i="1"/>
  <c r="K29" i="1"/>
  <c r="L29" i="1"/>
  <c r="C29" i="1"/>
  <c r="E12" i="4" l="1"/>
  <c r="F14" i="4"/>
  <c r="F15" i="4"/>
  <c r="J12" i="4"/>
  <c r="F11" i="4"/>
  <c r="G12" i="4" s="1"/>
  <c r="K12" i="4"/>
  <c r="C12" i="4"/>
  <c r="L12" i="4"/>
  <c r="H12" i="4"/>
  <c r="I12" i="4"/>
  <c r="D12" i="4"/>
  <c r="F12" i="4" l="1"/>
</calcChain>
</file>

<file path=xl/sharedStrings.xml><?xml version="1.0" encoding="utf-8"?>
<sst xmlns="http://schemas.openxmlformats.org/spreadsheetml/2006/main" count="230" uniqueCount="152">
  <si>
    <t xml:space="preserve"> 2018/19</t>
  </si>
  <si>
    <t xml:space="preserve"> 2019/20</t>
  </si>
  <si>
    <t>2020/21</t>
  </si>
  <si>
    <t xml:space="preserve">  2021/22</t>
  </si>
  <si>
    <t>2022/23</t>
  </si>
  <si>
    <t>2023/24</t>
  </si>
  <si>
    <t>2024/25</t>
  </si>
  <si>
    <t xml:space="preserve">    Outcome</t>
  </si>
  <si>
    <t xml:space="preserve">  Revised</t>
  </si>
  <si>
    <t>Medium-term estimates</t>
  </si>
  <si>
    <t>Community development</t>
  </si>
  <si>
    <t>Housing development</t>
  </si>
  <si>
    <t>Transport</t>
  </si>
  <si>
    <t>Water services</t>
  </si>
  <si>
    <t>Employment programmes</t>
  </si>
  <si>
    <t>Health</t>
  </si>
  <si>
    <t>Basic education</t>
  </si>
  <si>
    <t>Higher education and training</t>
  </si>
  <si>
    <t>Social protection</t>
  </si>
  <si>
    <t>of which: Social grants</t>
  </si>
  <si>
    <t>Social security funds</t>
  </si>
  <si>
    <t>Social wage</t>
  </si>
  <si>
    <t>Percentage of non-interest spending</t>
  </si>
  <si>
    <t>Percentage of consolidated spending</t>
  </si>
  <si>
    <t>1. Includes local government equitable share</t>
  </si>
  <si>
    <r>
      <t>Local government</t>
    </r>
    <r>
      <rPr>
        <vertAlign val="superscript"/>
        <sz val="9"/>
        <color indexed="8"/>
        <rFont val="Calibri"/>
        <family val="2"/>
      </rPr>
      <t>1</t>
    </r>
  </si>
  <si>
    <t>Children and families</t>
  </si>
  <si>
    <t>Other social services</t>
  </si>
  <si>
    <t>Social grants</t>
  </si>
  <si>
    <t>Welfare services</t>
  </si>
  <si>
    <t>Local conditional grants</t>
  </si>
  <si>
    <t>Local equitable share</t>
  </si>
  <si>
    <t>Fee-free higher education and training</t>
  </si>
  <si>
    <t>Social wage item</t>
  </si>
  <si>
    <t>Housing development grants (PCG and LCG) and other transfers to households from provinces</t>
  </si>
  <si>
    <t>Direct grants, Regional bulk infrastruture grant subprogramme</t>
  </si>
  <si>
    <t>EPWP</t>
  </si>
  <si>
    <t>Provincial health excl admin</t>
  </si>
  <si>
    <t xml:space="preserve">Provincial basic education excl admin and Independent school subsidies. Incl learner and teacher support material on national </t>
  </si>
  <si>
    <t>All transfers to households in the budget group Post-school education and training, the programme Technical and vocational education and training as well as the Community Education subprogramme</t>
  </si>
  <si>
    <t>Other social services excl admin</t>
  </si>
  <si>
    <t>Transfers to households in Social security funds</t>
  </si>
  <si>
    <t>Social welfare and restorative services programmes</t>
  </si>
  <si>
    <t xml:space="preserve"> 2016/17</t>
  </si>
  <si>
    <t xml:space="preserve"> 2017/18</t>
  </si>
  <si>
    <t xml:space="preserve"> 2015/16</t>
  </si>
  <si>
    <t>Description</t>
  </si>
  <si>
    <t>Accelerated Community Infrastructure Programme</t>
  </si>
  <si>
    <t>Water Services Infrastructure Grant - Direct and indirect</t>
  </si>
  <si>
    <t>Public transport excl. Gautrain</t>
  </si>
  <si>
    <t>Consolidated spending</t>
  </si>
  <si>
    <t>Debt-service costs</t>
  </si>
  <si>
    <t>Non-interest spending</t>
  </si>
  <si>
    <t>General social grants as % of social wage</t>
  </si>
  <si>
    <t>General socal grants as % of non-interest spending</t>
  </si>
  <si>
    <t>A</t>
  </si>
  <si>
    <t>B</t>
  </si>
  <si>
    <t>Social Relief of Distress</t>
  </si>
  <si>
    <t>C</t>
  </si>
  <si>
    <t>D</t>
  </si>
  <si>
    <t>H</t>
  </si>
  <si>
    <t>Housing development as % of social wage</t>
  </si>
  <si>
    <t>Housing development as % of non-interest spending</t>
  </si>
  <si>
    <t>I</t>
  </si>
  <si>
    <t>Health as % of social wage</t>
  </si>
  <si>
    <t>Health as % of non-interest spending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</si>
  <si>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</si>
  <si>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</si>
  <si>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</si>
  <si>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</si>
  <si>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</si>
  <si>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</si>
  <si>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</si>
  <si>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</si>
  <si>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</si>
  <si>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</si>
  <si>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</si>
  <si>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</si>
  <si>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</si>
  <si>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2021/22</t>
  </si>
  <si>
    <t>R million</t>
  </si>
  <si>
    <t>Old Age</t>
  </si>
  <si>
    <t>Disability</t>
  </si>
  <si>
    <t>Foster Care</t>
  </si>
  <si>
    <t>Care Dependency</t>
  </si>
  <si>
    <t>Child Support</t>
  </si>
  <si>
    <t>Grant-in-aid</t>
  </si>
  <si>
    <t>Total</t>
  </si>
  <si>
    <t xml:space="preserve">YOY Growth % </t>
  </si>
  <si>
    <t>School subsidies</t>
  </si>
  <si>
    <t>School fee subsidies as % of social wage</t>
  </si>
  <si>
    <t>School fee subsidies as % non-interest spending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</si>
  <si>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</si>
  <si>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</si>
  <si>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</si>
  <si>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</si>
  <si>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</si>
  <si>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</si>
  <si>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</si>
  <si>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</si>
  <si>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</si>
  <si>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</si>
  <si>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</si>
  <si>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</si>
  <si>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</si>
  <si>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Total Free Basic Services (FBS) component of the LGES formula</t>
  </si>
  <si>
    <t xml:space="preserve">Total direct LG transfers </t>
  </si>
  <si>
    <t>E</t>
  </si>
  <si>
    <t>Free Basic Elecricity (FBE)</t>
  </si>
  <si>
    <t>FBE as % of total FBS</t>
  </si>
  <si>
    <t>FBE as % of total LGES</t>
  </si>
  <si>
    <t>FBE as % of total direct transfers</t>
  </si>
  <si>
    <t>F</t>
  </si>
  <si>
    <t>Free Basic Water (FBW)</t>
  </si>
  <si>
    <t>FBW as % of total FBS</t>
  </si>
  <si>
    <t>FBW as % of total LGES</t>
  </si>
  <si>
    <t>FBW as % of total direct transfers</t>
  </si>
  <si>
    <t>G1</t>
  </si>
  <si>
    <t>Free Basic Sanitation (FBS)</t>
  </si>
  <si>
    <t>Included in the water subsidy</t>
  </si>
  <si>
    <t>FBS as % of total FBS</t>
  </si>
  <si>
    <t>FBS as % of total LGES</t>
  </si>
  <si>
    <t>FBS as % of total direct transfers</t>
  </si>
  <si>
    <t>G2</t>
  </si>
  <si>
    <t>Free Basic Refuse (FBR)</t>
  </si>
  <si>
    <t>FBR as % of total FBS</t>
  </si>
  <si>
    <t>FBR as % of total LGES</t>
  </si>
  <si>
    <t>FBR as % of total direct transfers</t>
  </si>
  <si>
    <t>NB</t>
  </si>
  <si>
    <t>Between 2005 and 2008 - water and sanitation subsidies were combined</t>
  </si>
  <si>
    <t>FBE as % of l non-interest spending</t>
  </si>
  <si>
    <t>FBS as % of non-interest spending</t>
  </si>
  <si>
    <t>FBR as % of non-interest spending</t>
  </si>
  <si>
    <t>FBW as % of non-interest spending</t>
  </si>
  <si>
    <t>FBE as % of social wage</t>
  </si>
  <si>
    <t>FBW as % of social wage</t>
  </si>
  <si>
    <t>FBS as % of social wage</t>
  </si>
  <si>
    <t>FBR as % of social wage</t>
  </si>
  <si>
    <t>The figures are whole numbers</t>
  </si>
  <si>
    <t>LGES formular was introduced in 1998. Between 1998-2004, the models used in this period are not functional</t>
  </si>
  <si>
    <t>General social relief of distress as % of social wage</t>
  </si>
  <si>
    <t>General socal relief of distress as % of non-interest spending</t>
  </si>
  <si>
    <t>NSFAS as % of social wage</t>
  </si>
  <si>
    <t>NSFAS % of non-interest spending</t>
  </si>
  <si>
    <r>
      <t xml:space="preserve">Total local government equitable share formula allocations (LGES) </t>
    </r>
    <r>
      <rPr>
        <b/>
        <i/>
        <sz val="9"/>
        <color rgb="FFFF0000"/>
        <rFont val="Calibri"/>
        <family val="2"/>
        <scheme val="minor"/>
      </rPr>
      <t>(excludes RSC levies and councillor remuneration support)</t>
    </r>
  </si>
  <si>
    <t>Source: 2022 Budget Review</t>
  </si>
  <si>
    <t>Table 1:  Social wage</t>
  </si>
  <si>
    <t>Table 2: Social Relief of Distress</t>
  </si>
  <si>
    <t>Table 3: School fee subsidies</t>
  </si>
  <si>
    <t>Table 4: National Student Financial Aid Scheme (NSFAS)</t>
  </si>
  <si>
    <t>Table 5: Free basic services</t>
  </si>
  <si>
    <t>NSFAS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</si>
</sst>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_);_*\ \-#,##0_);_(* &quot;–&quot;_);_(@_)"/>
    <numFmt numFmtId="165" formatCode="_(* #,##0.0_);_*\ \-#,##0.0_);_(* &quot;–&quot;_);_(@_)"/>
    <numFmt numFmtId="166" formatCode="0.0%"/>
    <numFmt numFmtId="167" formatCode="0.0%;\-0.0%"/>
    <numFmt numFmtId="168" formatCode="_-* #,##0_-;\-* #,##0_-;_-* &quot;-&quot;??_-;_-@_-"/>
    <numFmt numFmtId="169" formatCode="yyyy/yy"/>
    <numFmt numFmtId="170" formatCode="#,##0.000"/>
    <numFmt numFmtId="171" formatCode="_-* #,##0.0_-;\-* #,##0.0_-;_-* &quot;-&quot;??_-;_-@_-"/>
    <numFmt numFmtId="172" formatCode="#,##0.0,,;\-#,##0.0,,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i/>
      <sz val="9"/>
      <name val="Calibri"/>
      <family val="2"/>
      <scheme val="minor"/>
    </font>
    <font>
      <vertAlign val="superscript"/>
      <sz val="9"/>
      <color indexed="8"/>
      <name val="Calibri"/>
      <family val="2"/>
    </font>
    <font>
      <sz val="8"/>
      <name val="Calibri"/>
      <family val="2"/>
      <scheme val="minor"/>
    </font>
    <font>
      <i/>
      <sz val="8"/>
      <color theme="1"/>
      <name val="Arial"/>
      <family val="2"/>
    </font>
    <font>
      <i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b/>
      <i/>
      <sz val="9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n">
        <color rgb="FFA4343A"/>
      </bottom>
      <diagonal/>
    </border>
    <border>
      <left/>
      <right/>
      <top style="thin">
        <color rgb="FFA4343A"/>
      </top>
      <bottom/>
      <diagonal/>
    </border>
    <border>
      <left style="hair">
        <color auto="1"/>
      </left>
      <right style="hair">
        <color auto="1"/>
      </right>
      <top style="thin">
        <color rgb="FFA4343A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rgb="FFA4343A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rgb="FFA4343A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A4343A"/>
      </bottom>
      <diagonal/>
    </border>
    <border>
      <left style="thin">
        <color indexed="64"/>
      </left>
      <right/>
      <top/>
      <bottom style="thin">
        <color rgb="FFA4343A"/>
      </bottom>
      <diagonal/>
    </border>
    <border>
      <left/>
      <right/>
      <top style="hair">
        <color indexed="64"/>
      </top>
      <bottom style="thin">
        <color rgb="FFA4343A"/>
      </bottom>
      <diagonal/>
    </border>
    <border>
      <left style="hair">
        <color indexed="64"/>
      </left>
      <right/>
      <top style="hair">
        <color indexed="64"/>
      </top>
      <bottom style="thin">
        <color rgb="FFA4343A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rgb="FFA4343A"/>
      </bottom>
      <diagonal/>
    </border>
    <border>
      <left/>
      <right style="hair">
        <color theme="1"/>
      </right>
      <top/>
      <bottom style="thin">
        <color indexed="64"/>
      </bottom>
      <diagonal/>
    </border>
    <border>
      <left style="hair">
        <color theme="1"/>
      </left>
      <right style="hair">
        <color theme="1"/>
      </right>
      <top/>
      <bottom style="thin">
        <color indexed="64"/>
      </bottom>
      <diagonal/>
    </border>
    <border>
      <left/>
      <right/>
      <top style="thin">
        <color rgb="FFA4343A"/>
      </top>
      <bottom style="hair">
        <color theme="1"/>
      </bottom>
      <diagonal/>
    </border>
    <border>
      <left/>
      <right style="hair">
        <color theme="1"/>
      </right>
      <top style="thin">
        <color rgb="FFA4343A"/>
      </top>
      <bottom/>
      <diagonal/>
    </border>
    <border>
      <left style="hair">
        <color theme="1"/>
      </left>
      <right style="hair">
        <color theme="1"/>
      </right>
      <top style="thin">
        <color rgb="FFA4343A"/>
      </top>
      <bottom/>
      <diagonal/>
    </border>
    <border>
      <left style="hair">
        <color theme="1"/>
      </left>
      <right/>
      <top style="thin">
        <color rgb="FFA4343A"/>
      </top>
      <bottom/>
      <diagonal/>
    </border>
    <border>
      <left/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indexed="64"/>
      </top>
      <bottom/>
      <diagonal/>
    </border>
    <border>
      <left style="hair">
        <color theme="1"/>
      </left>
      <right style="hair">
        <color theme="1"/>
      </right>
      <top style="hair">
        <color indexed="64"/>
      </top>
      <bottom/>
      <diagonal/>
    </border>
    <border>
      <left style="hair">
        <color theme="1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rgb="FFA4343A"/>
      </bottom>
      <diagonal/>
    </border>
    <border>
      <left/>
      <right style="thin">
        <color indexed="64"/>
      </right>
      <top style="thin">
        <color rgb="FFA4343A"/>
      </top>
      <bottom style="hair">
        <color theme="1"/>
      </bottom>
      <diagonal/>
    </border>
    <border>
      <left style="thin">
        <color indexed="64"/>
      </left>
      <right/>
      <top style="thin">
        <color rgb="FFA4343A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thin">
        <color rgb="FFA4343A"/>
      </top>
      <bottom style="hair">
        <color theme="1"/>
      </bottom>
      <diagonal/>
    </border>
    <border>
      <left/>
      <right style="hair">
        <color theme="1"/>
      </right>
      <top style="thin">
        <color rgb="FFA4343A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rgb="FFA4343A"/>
      </top>
      <bottom style="hair">
        <color theme="1"/>
      </bottom>
      <diagonal/>
    </border>
    <border>
      <left style="hair">
        <color theme="1"/>
      </left>
      <right/>
      <top style="thin">
        <color rgb="FFA4343A"/>
      </top>
      <bottom style="hair">
        <color theme="1"/>
      </bottom>
      <diagonal/>
    </border>
    <border>
      <left/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/>
      <top/>
      <bottom/>
      <diagonal/>
    </border>
    <border>
      <left/>
      <right style="hair">
        <color theme="1"/>
      </right>
      <top style="hair">
        <color indexed="64"/>
      </top>
      <bottom style="thin">
        <color rgb="FFA4343A"/>
      </bottom>
      <diagonal/>
    </border>
    <border>
      <left style="hair">
        <color theme="1"/>
      </left>
      <right style="hair">
        <color theme="1"/>
      </right>
      <top style="hair">
        <color indexed="64"/>
      </top>
      <bottom style="thin">
        <color rgb="FFA4343A"/>
      </bottom>
      <diagonal/>
    </border>
    <border>
      <left style="hair">
        <color theme="1"/>
      </left>
      <right/>
      <top style="hair">
        <color indexed="64"/>
      </top>
      <bottom style="thin">
        <color rgb="FFA4343A"/>
      </bottom>
      <diagonal/>
    </border>
    <border>
      <left/>
      <right style="hair">
        <color theme="1"/>
      </right>
      <top/>
      <bottom style="hair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indexed="64"/>
      </bottom>
      <diagonal/>
    </border>
    <border>
      <left style="hair">
        <color theme="1"/>
      </left>
      <right/>
      <top/>
      <bottom style="hair">
        <color indexed="64"/>
      </bottom>
      <diagonal/>
    </border>
    <border>
      <left/>
      <right style="hair">
        <color theme="1"/>
      </right>
      <top style="thin">
        <color indexed="64"/>
      </top>
      <bottom/>
      <diagonal/>
    </border>
    <border>
      <left style="hair">
        <color theme="1"/>
      </left>
      <right style="hair">
        <color theme="1"/>
      </right>
      <top style="thin">
        <color indexed="64"/>
      </top>
      <bottom/>
      <diagonal/>
    </border>
    <border>
      <left style="hair">
        <color theme="1"/>
      </left>
      <right/>
      <top style="thin">
        <color indexed="64"/>
      </top>
      <bottom/>
      <diagonal/>
    </border>
    <border>
      <left style="hair">
        <color theme="1"/>
      </left>
      <right/>
      <top style="hair">
        <color theme="1"/>
      </top>
      <bottom style="thin">
        <color indexed="64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/>
      <right/>
      <top style="hair">
        <color theme="1"/>
      </top>
      <bottom style="thin">
        <color indexed="64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/>
      <top style="hair">
        <color theme="1"/>
      </top>
      <bottom style="thin">
        <color indexed="64"/>
      </bottom>
      <diagonal/>
    </border>
    <border>
      <left/>
      <right style="hair">
        <color theme="1"/>
      </right>
      <top style="hair">
        <color theme="1"/>
      </top>
      <bottom style="thin">
        <color indexed="64"/>
      </bottom>
      <diagonal/>
    </border>
    <border>
      <left/>
      <right/>
      <top/>
      <bottom style="hair">
        <color theme="1"/>
      </bottom>
      <diagonal/>
    </border>
    <border>
      <left/>
      <right style="thin">
        <color indexed="64"/>
      </right>
      <top/>
      <bottom style="hair">
        <color theme="1"/>
      </bottom>
      <diagonal/>
    </border>
    <border>
      <left style="thin">
        <color indexed="64"/>
      </left>
      <right style="thin">
        <color indexed="64"/>
      </right>
      <top/>
      <bottom style="hair">
        <color theme="1"/>
      </bottom>
      <diagonal/>
    </border>
    <border>
      <left style="thin">
        <color indexed="64"/>
      </left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/>
      <top style="thin">
        <color rgb="FFA4343A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rgb="FFA4343A"/>
      </top>
      <bottom style="hair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40">
    <xf numFmtId="0" fontId="0" fillId="0" borderId="0" xfId="0"/>
    <xf numFmtId="0" fontId="4" fillId="0" borderId="1" xfId="2" applyFont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/>
    </xf>
    <xf numFmtId="164" fontId="5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6" fillId="0" borderId="0" xfId="0" applyFont="1" applyAlignment="1">
      <alignment vertical="top"/>
    </xf>
    <xf numFmtId="3" fontId="6" fillId="0" borderId="0" xfId="0" quotePrefix="1" applyNumberFormat="1" applyFont="1" applyAlignment="1">
      <alignment horizontal="center" vertical="top"/>
    </xf>
    <xf numFmtId="3" fontId="6" fillId="0" borderId="2" xfId="0" quotePrefix="1" applyNumberFormat="1" applyFont="1" applyBorder="1" applyAlignment="1">
      <alignment horizontal="center" vertical="top"/>
    </xf>
    <xf numFmtId="3" fontId="6" fillId="0" borderId="3" xfId="0" quotePrefix="1" applyNumberFormat="1" applyFont="1" applyBorder="1" applyAlignment="1">
      <alignment horizontal="center" vertical="top"/>
    </xf>
    <xf numFmtId="0" fontId="6" fillId="0" borderId="4" xfId="0" applyFont="1" applyBorder="1" applyAlignment="1">
      <alignment vertical="top"/>
    </xf>
    <xf numFmtId="0" fontId="8" fillId="0" borderId="4" xfId="3" applyFont="1" applyBorder="1" applyAlignment="1">
      <alignment vertical="top"/>
    </xf>
    <xf numFmtId="0" fontId="8" fillId="0" borderId="4" xfId="3" quotePrefix="1" applyFont="1" applyBorder="1" applyAlignment="1">
      <alignment horizontal="centerContinuous" vertical="top"/>
    </xf>
    <xf numFmtId="3" fontId="6" fillId="0" borderId="6" xfId="0" quotePrefix="1" applyNumberFormat="1" applyFont="1" applyBorder="1" applyAlignment="1">
      <alignment horizontal="center" vertical="top"/>
    </xf>
    <xf numFmtId="164" fontId="6" fillId="0" borderId="4" xfId="0" applyNumberFormat="1" applyFont="1" applyBorder="1" applyAlignment="1">
      <alignment horizontal="centerContinuous" vertical="top"/>
    </xf>
    <xf numFmtId="0" fontId="9" fillId="0" borderId="7" xfId="0" applyFont="1" applyBorder="1" applyAlignment="1">
      <alignment vertical="center"/>
    </xf>
    <xf numFmtId="0" fontId="8" fillId="0" borderId="7" xfId="3" applyFont="1" applyBorder="1" applyAlignment="1">
      <alignment horizontal="left" vertical="top"/>
    </xf>
    <xf numFmtId="165" fontId="6" fillId="0" borderId="0" xfId="0" applyNumberFormat="1" applyFont="1" applyAlignment="1">
      <alignment vertical="top"/>
    </xf>
    <xf numFmtId="165" fontId="6" fillId="0" borderId="8" xfId="0" applyNumberFormat="1" applyFont="1" applyBorder="1" applyAlignment="1">
      <alignment vertical="top"/>
    </xf>
    <xf numFmtId="0" fontId="9" fillId="0" borderId="0" xfId="0" applyFont="1" applyAlignment="1">
      <alignment vertical="center"/>
    </xf>
    <xf numFmtId="0" fontId="10" fillId="0" borderId="0" xfId="3" applyFont="1" applyAlignment="1">
      <alignment horizontal="left" vertical="top" indent="1"/>
    </xf>
    <xf numFmtId="165" fontId="9" fillId="0" borderId="0" xfId="0" applyNumberFormat="1" applyFont="1" applyAlignment="1">
      <alignment vertical="top"/>
    </xf>
    <xf numFmtId="165" fontId="9" fillId="0" borderId="8" xfId="0" applyNumberFormat="1" applyFont="1" applyBorder="1" applyAlignment="1">
      <alignment vertical="top"/>
    </xf>
    <xf numFmtId="0" fontId="8" fillId="0" borderId="0" xfId="3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164" fontId="9" fillId="0" borderId="0" xfId="0" applyNumberFormat="1" applyFont="1" applyAlignment="1">
      <alignment vertical="center"/>
    </xf>
    <xf numFmtId="49" fontId="6" fillId="0" borderId="0" xfId="0" applyNumberFormat="1" applyFont="1" applyAlignment="1">
      <alignment vertical="top" wrapText="1"/>
    </xf>
    <xf numFmtId="49" fontId="6" fillId="0" borderId="0" xfId="0" applyNumberFormat="1" applyFont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165" fontId="6" fillId="0" borderId="7" xfId="0" applyNumberFormat="1" applyFont="1" applyBorder="1" applyAlignment="1">
      <alignment horizontal="left" vertical="top"/>
    </xf>
    <xf numFmtId="165" fontId="6" fillId="0" borderId="7" xfId="0" applyNumberFormat="1" applyFont="1" applyBorder="1" applyAlignment="1">
      <alignment horizontal="right" vertical="top"/>
    </xf>
    <xf numFmtId="165" fontId="6" fillId="0" borderId="9" xfId="0" applyNumberFormat="1" applyFont="1" applyBorder="1" applyAlignment="1">
      <alignment horizontal="right" vertical="top"/>
    </xf>
    <xf numFmtId="0" fontId="11" fillId="0" borderId="0" xfId="0" applyFont="1" applyAlignment="1">
      <alignment horizontal="left" vertical="top" wrapText="1"/>
    </xf>
    <xf numFmtId="166" fontId="11" fillId="0" borderId="0" xfId="1" applyNumberFormat="1" applyFont="1" applyFill="1" applyBorder="1" applyAlignment="1">
      <alignment horizontal="right" vertical="top"/>
    </xf>
    <xf numFmtId="166" fontId="11" fillId="0" borderId="8" xfId="1" applyNumberFormat="1" applyFont="1" applyFill="1" applyBorder="1" applyAlignment="1">
      <alignment horizontal="right" vertical="top"/>
    </xf>
    <xf numFmtId="0" fontId="9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top" wrapText="1"/>
    </xf>
    <xf numFmtId="166" fontId="11" fillId="0" borderId="1" xfId="1" applyNumberFormat="1" applyFont="1" applyFill="1" applyBorder="1" applyAlignment="1">
      <alignment horizontal="right" vertical="top"/>
    </xf>
    <xf numFmtId="166" fontId="11" fillId="0" borderId="10" xfId="1" applyNumberFormat="1" applyFont="1" applyFill="1" applyBorder="1" applyAlignment="1">
      <alignment horizontal="right" vertical="top"/>
    </xf>
    <xf numFmtId="0" fontId="11" fillId="0" borderId="0" xfId="0" applyFont="1" applyAlignment="1">
      <alignment vertical="center"/>
    </xf>
    <xf numFmtId="0" fontId="9" fillId="0" borderId="0" xfId="0" applyFont="1" applyAlignment="1">
      <alignment horizontal="left" vertical="top" wrapText="1" indent="1"/>
    </xf>
    <xf numFmtId="164" fontId="9" fillId="0" borderId="0" xfId="0" applyNumberFormat="1" applyFont="1" applyAlignment="1">
      <alignment horizontal="right" vertical="top"/>
    </xf>
    <xf numFmtId="0" fontId="6" fillId="0" borderId="0" xfId="0" applyFont="1" applyAlignment="1">
      <alignment vertical="center"/>
    </xf>
    <xf numFmtId="167" fontId="9" fillId="0" borderId="0" xfId="0" applyNumberFormat="1" applyFont="1" applyAlignment="1">
      <alignment horizontal="right" vertical="top"/>
    </xf>
    <xf numFmtId="3" fontId="0" fillId="0" borderId="0" xfId="0" applyNumberFormat="1" applyAlignment="1">
      <alignment vertical="top" wrapText="1"/>
    </xf>
    <xf numFmtId="3" fontId="2" fillId="2" borderId="11" xfId="0" applyNumberFormat="1" applyFont="1" applyFill="1" applyBorder="1" applyAlignment="1">
      <alignment wrapText="1"/>
    </xf>
    <xf numFmtId="164" fontId="6" fillId="0" borderId="5" xfId="0" quotePrefix="1" applyNumberFormat="1" applyFont="1" applyBorder="1" applyAlignment="1">
      <alignment horizontal="centerContinuous" vertical="top"/>
    </xf>
    <xf numFmtId="164" fontId="9" fillId="0" borderId="2" xfId="0" applyNumberFormat="1" applyFont="1" applyBorder="1" applyAlignment="1">
      <alignment vertical="center"/>
    </xf>
    <xf numFmtId="49" fontId="6" fillId="0" borderId="2" xfId="0" applyNumberFormat="1" applyFont="1" applyBorder="1" applyAlignment="1">
      <alignment vertical="top" wrapText="1"/>
    </xf>
    <xf numFmtId="165" fontId="6" fillId="0" borderId="2" xfId="0" applyNumberFormat="1" applyFont="1" applyBorder="1" applyAlignment="1">
      <alignment vertical="top"/>
    </xf>
    <xf numFmtId="165" fontId="6" fillId="0" borderId="3" xfId="0" applyNumberFormat="1" applyFont="1" applyBorder="1" applyAlignment="1">
      <alignment vertical="top"/>
    </xf>
    <xf numFmtId="164" fontId="9" fillId="0" borderId="1" xfId="0" applyNumberFormat="1" applyFont="1" applyBorder="1" applyAlignment="1">
      <alignment vertical="center"/>
    </xf>
    <xf numFmtId="49" fontId="6" fillId="0" borderId="1" xfId="0" applyNumberFormat="1" applyFont="1" applyBorder="1" applyAlignment="1">
      <alignment vertical="top" wrapText="1"/>
    </xf>
    <xf numFmtId="165" fontId="6" fillId="0" borderId="1" xfId="0" applyNumberFormat="1" applyFont="1" applyBorder="1" applyAlignment="1">
      <alignment vertical="top"/>
    </xf>
    <xf numFmtId="165" fontId="6" fillId="0" borderId="10" xfId="0" applyNumberFormat="1" applyFont="1" applyBorder="1" applyAlignment="1">
      <alignment vertical="top"/>
    </xf>
    <xf numFmtId="49" fontId="6" fillId="0" borderId="0" xfId="0" applyNumberFormat="1" applyFont="1" applyFill="1" applyBorder="1" applyAlignment="1">
      <alignment vertical="top" wrapText="1"/>
    </xf>
    <xf numFmtId="9" fontId="0" fillId="0" borderId="0" xfId="1" applyFont="1"/>
    <xf numFmtId="0" fontId="9" fillId="3" borderId="0" xfId="0" applyFont="1" applyFill="1" applyAlignment="1">
      <alignment vertical="center"/>
    </xf>
    <xf numFmtId="0" fontId="10" fillId="3" borderId="0" xfId="3" applyFont="1" applyFill="1" applyAlignment="1">
      <alignment horizontal="left" vertical="top" indent="1"/>
    </xf>
    <xf numFmtId="165" fontId="9" fillId="3" borderId="0" xfId="0" applyNumberFormat="1" applyFont="1" applyFill="1" applyAlignment="1">
      <alignment vertical="top"/>
    </xf>
    <xf numFmtId="165" fontId="9" fillId="3" borderId="8" xfId="0" applyNumberFormat="1" applyFont="1" applyFill="1" applyBorder="1" applyAlignment="1">
      <alignment vertical="top"/>
    </xf>
    <xf numFmtId="0" fontId="9" fillId="6" borderId="0" xfId="0" applyFont="1" applyFill="1" applyAlignment="1">
      <alignment vertical="center"/>
    </xf>
    <xf numFmtId="0" fontId="8" fillId="6" borderId="0" xfId="3" applyFont="1" applyFill="1" applyAlignment="1">
      <alignment horizontal="left" vertical="top"/>
    </xf>
    <xf numFmtId="165" fontId="6" fillId="6" borderId="0" xfId="0" applyNumberFormat="1" applyFont="1" applyFill="1" applyAlignment="1">
      <alignment vertical="top"/>
    </xf>
    <xf numFmtId="165" fontId="6" fillId="6" borderId="8" xfId="0" applyNumberFormat="1" applyFont="1" applyFill="1" applyBorder="1" applyAlignment="1">
      <alignment vertical="top"/>
    </xf>
    <xf numFmtId="0" fontId="9" fillId="7" borderId="0" xfId="0" applyFont="1" applyFill="1" applyAlignment="1">
      <alignment vertical="center"/>
    </xf>
    <xf numFmtId="49" fontId="11" fillId="7" borderId="0" xfId="0" applyNumberFormat="1" applyFont="1" applyFill="1" applyAlignment="1">
      <alignment horizontal="left" vertical="top" wrapText="1" indent="1"/>
    </xf>
    <xf numFmtId="165" fontId="11" fillId="7" borderId="0" xfId="0" applyNumberFormat="1" applyFont="1" applyFill="1" applyAlignment="1">
      <alignment horizontal="left" vertical="top"/>
    </xf>
    <xf numFmtId="165" fontId="11" fillId="7" borderId="8" xfId="0" applyNumberFormat="1" applyFont="1" applyFill="1" applyBorder="1" applyAlignment="1">
      <alignment horizontal="left" vertical="top"/>
    </xf>
    <xf numFmtId="0" fontId="0" fillId="4" borderId="0" xfId="0" applyFill="1"/>
    <xf numFmtId="0" fontId="15" fillId="4" borderId="0" xfId="0" applyFont="1" applyFill="1"/>
    <xf numFmtId="0" fontId="14" fillId="4" borderId="0" xfId="0" applyFont="1" applyFill="1"/>
    <xf numFmtId="0" fontId="16" fillId="4" borderId="0" xfId="0" applyFont="1" applyFill="1"/>
    <xf numFmtId="3" fontId="16" fillId="4" borderId="0" xfId="0" applyNumberFormat="1" applyFont="1" applyFill="1"/>
    <xf numFmtId="170" fontId="16" fillId="4" borderId="0" xfId="0" applyNumberFormat="1" applyFont="1" applyFill="1"/>
    <xf numFmtId="0" fontId="2" fillId="4" borderId="0" xfId="0" applyFont="1" applyFill="1"/>
    <xf numFmtId="3" fontId="17" fillId="4" borderId="0" xfId="0" applyNumberFormat="1" applyFont="1" applyFill="1"/>
    <xf numFmtId="0" fontId="18" fillId="4" borderId="0" xfId="0" applyFont="1" applyFill="1"/>
    <xf numFmtId="164" fontId="9" fillId="4" borderId="8" xfId="0" applyNumberFormat="1" applyFont="1" applyFill="1" applyBorder="1" applyAlignment="1" applyProtection="1">
      <alignment horizontal="right" vertical="top"/>
    </xf>
    <xf numFmtId="164" fontId="9" fillId="4" borderId="15" xfId="0" applyNumberFormat="1" applyFont="1" applyFill="1" applyBorder="1" applyAlignment="1" applyProtection="1">
      <alignment horizontal="right" vertical="top"/>
    </xf>
    <xf numFmtId="164" fontId="9" fillId="4" borderId="20" xfId="0" applyNumberFormat="1" applyFont="1" applyFill="1" applyBorder="1" applyAlignment="1" applyProtection="1">
      <alignment horizontal="right" vertical="top"/>
    </xf>
    <xf numFmtId="0" fontId="19" fillId="4" borderId="0" xfId="0" applyFont="1" applyFill="1"/>
    <xf numFmtId="0" fontId="21" fillId="4" borderId="0" xfId="0" applyFont="1" applyFill="1"/>
    <xf numFmtId="168" fontId="18" fillId="4" borderId="0" xfId="5" applyNumberFormat="1" applyFont="1" applyFill="1"/>
    <xf numFmtId="0" fontId="18" fillId="8" borderId="12" xfId="0" applyFont="1" applyFill="1" applyBorder="1"/>
    <xf numFmtId="0" fontId="18" fillId="3" borderId="12" xfId="0" applyFont="1" applyFill="1" applyBorder="1"/>
    <xf numFmtId="0" fontId="18" fillId="6" borderId="12" xfId="0" applyFont="1" applyFill="1" applyBorder="1"/>
    <xf numFmtId="0" fontId="19" fillId="0" borderId="0" xfId="0" applyFont="1"/>
    <xf numFmtId="0" fontId="4" fillId="4" borderId="12" xfId="0" applyNumberFormat="1" applyFont="1" applyFill="1" applyBorder="1" applyAlignment="1" applyProtection="1"/>
    <xf numFmtId="164" fontId="20" fillId="4" borderId="12" xfId="0" applyNumberFormat="1" applyFont="1" applyFill="1" applyBorder="1" applyAlignment="1">
      <alignment horizontal="right" vertical="top"/>
    </xf>
    <xf numFmtId="0" fontId="18" fillId="4" borderId="12" xfId="0" applyFont="1" applyFill="1" applyBorder="1"/>
    <xf numFmtId="0" fontId="18" fillId="4" borderId="2" xfId="0" applyFont="1" applyFill="1" applyBorder="1"/>
    <xf numFmtId="0" fontId="18" fillId="4" borderId="0" xfId="0" applyFont="1" applyFill="1" applyBorder="1"/>
    <xf numFmtId="0" fontId="19" fillId="4" borderId="0" xfId="0" applyFont="1" applyFill="1" applyBorder="1"/>
    <xf numFmtId="49" fontId="6" fillId="4" borderId="26" xfId="0" applyNumberFormat="1" applyFont="1" applyFill="1" applyBorder="1" applyAlignment="1">
      <alignment vertical="top" wrapText="1"/>
    </xf>
    <xf numFmtId="168" fontId="18" fillId="4" borderId="0" xfId="5" applyNumberFormat="1" applyFont="1" applyFill="1" applyBorder="1"/>
    <xf numFmtId="49" fontId="6" fillId="4" borderId="4" xfId="0" applyNumberFormat="1" applyFont="1" applyFill="1" applyBorder="1" applyAlignment="1">
      <alignment vertical="top" wrapText="1"/>
    </xf>
    <xf numFmtId="0" fontId="18" fillId="4" borderId="16" xfId="0" applyFont="1" applyFill="1" applyBorder="1"/>
    <xf numFmtId="49" fontId="11" fillId="4" borderId="16" xfId="0" applyNumberFormat="1" applyFont="1" applyFill="1" applyBorder="1" applyAlignment="1">
      <alignment vertical="center"/>
    </xf>
    <xf numFmtId="0" fontId="18" fillId="4" borderId="4" xfId="0" applyFont="1" applyFill="1" applyBorder="1"/>
    <xf numFmtId="165" fontId="9" fillId="4" borderId="6" xfId="0" applyNumberFormat="1" applyFont="1" applyFill="1" applyBorder="1" applyAlignment="1" applyProtection="1">
      <alignment horizontal="right" vertical="top"/>
    </xf>
    <xf numFmtId="165" fontId="9" fillId="4" borderId="5" xfId="0" applyNumberFormat="1" applyFont="1" applyFill="1" applyBorder="1" applyAlignment="1" applyProtection="1">
      <alignment horizontal="right" vertical="top"/>
    </xf>
    <xf numFmtId="165" fontId="9" fillId="4" borderId="21" xfId="0" applyNumberFormat="1" applyFont="1" applyFill="1" applyBorder="1" applyAlignment="1" applyProtection="1">
      <alignment horizontal="right" vertical="top"/>
    </xf>
    <xf numFmtId="164" fontId="6" fillId="4" borderId="28" xfId="0" applyNumberFormat="1" applyFont="1" applyFill="1" applyBorder="1" applyAlignment="1" applyProtection="1">
      <alignment vertical="center"/>
    </xf>
    <xf numFmtId="164" fontId="6" fillId="4" borderId="17" xfId="0" applyNumberFormat="1" applyFont="1" applyFill="1" applyBorder="1" applyAlignment="1" applyProtection="1">
      <alignment vertical="center"/>
    </xf>
    <xf numFmtId="164" fontId="6" fillId="4" borderId="29" xfId="0" applyNumberFormat="1" applyFont="1" applyFill="1" applyBorder="1" applyAlignment="1" applyProtection="1">
      <alignment vertical="center"/>
    </xf>
    <xf numFmtId="0" fontId="19" fillId="4" borderId="16" xfId="0" applyFont="1" applyFill="1" applyBorder="1"/>
    <xf numFmtId="166" fontId="19" fillId="4" borderId="28" xfId="1" applyNumberFormat="1" applyFont="1" applyFill="1" applyBorder="1"/>
    <xf numFmtId="166" fontId="19" fillId="4" borderId="16" xfId="1" applyNumberFormat="1" applyFont="1" applyFill="1" applyBorder="1"/>
    <xf numFmtId="169" fontId="6" fillId="4" borderId="23" xfId="0" applyNumberFormat="1" applyFont="1" applyFill="1" applyBorder="1" applyAlignment="1" applyProtection="1">
      <alignment horizontal="right" wrapText="1"/>
    </xf>
    <xf numFmtId="169" fontId="6" fillId="4" borderId="2" xfId="0" applyNumberFormat="1" applyFont="1" applyFill="1" applyBorder="1" applyAlignment="1" applyProtection="1">
      <alignment horizontal="right" wrapText="1"/>
    </xf>
    <xf numFmtId="0" fontId="6" fillId="4" borderId="0" xfId="0" applyNumberFormat="1" applyFont="1" applyFill="1" applyBorder="1" applyAlignment="1" applyProtection="1">
      <alignment horizontal="left"/>
    </xf>
    <xf numFmtId="0" fontId="9" fillId="4" borderId="0" xfId="0" applyNumberFormat="1" applyFont="1" applyFill="1" applyBorder="1" applyAlignment="1" applyProtection="1">
      <alignment vertical="top"/>
    </xf>
    <xf numFmtId="0" fontId="6" fillId="4" borderId="4" xfId="0" applyNumberFormat="1" applyFont="1" applyFill="1" applyBorder="1" applyAlignment="1" applyProtection="1">
      <alignment vertical="top"/>
    </xf>
    <xf numFmtId="0" fontId="6" fillId="4" borderId="16" xfId="0" applyNumberFormat="1" applyFont="1" applyFill="1" applyBorder="1" applyAlignment="1" applyProtection="1">
      <alignment vertical="center"/>
    </xf>
    <xf numFmtId="166" fontId="19" fillId="4" borderId="17" xfId="1" applyNumberFormat="1" applyFont="1" applyFill="1" applyBorder="1"/>
    <xf numFmtId="166" fontId="18" fillId="4" borderId="30" xfId="1" applyNumberFormat="1" applyFont="1" applyFill="1" applyBorder="1" applyAlignment="1">
      <alignment vertical="top"/>
    </xf>
    <xf numFmtId="166" fontId="18" fillId="4" borderId="24" xfId="1" applyNumberFormat="1" applyFont="1" applyFill="1" applyBorder="1" applyAlignment="1">
      <alignment vertical="top"/>
    </xf>
    <xf numFmtId="166" fontId="18" fillId="4" borderId="27" xfId="1" applyNumberFormat="1" applyFont="1" applyFill="1" applyBorder="1" applyAlignment="1">
      <alignment vertical="top"/>
    </xf>
    <xf numFmtId="166" fontId="18" fillId="4" borderId="5" xfId="1" applyNumberFormat="1" applyFont="1" applyFill="1" applyBorder="1" applyAlignment="1">
      <alignment vertical="top"/>
    </xf>
    <xf numFmtId="166" fontId="18" fillId="4" borderId="6" xfId="1" applyNumberFormat="1" applyFont="1" applyFill="1" applyBorder="1" applyAlignment="1">
      <alignment vertical="top"/>
    </xf>
    <xf numFmtId="166" fontId="18" fillId="4" borderId="21" xfId="1" applyNumberFormat="1" applyFont="1" applyFill="1" applyBorder="1" applyAlignment="1">
      <alignment vertical="top"/>
    </xf>
    <xf numFmtId="0" fontId="6" fillId="4" borderId="33" xfId="0" applyFont="1" applyFill="1" applyBorder="1" applyAlignment="1" applyProtection="1">
      <alignment wrapText="1"/>
    </xf>
    <xf numFmtId="17" fontId="6" fillId="4" borderId="18" xfId="0" applyNumberFormat="1" applyFont="1" applyFill="1" applyBorder="1" applyAlignment="1" applyProtection="1">
      <alignment vertical="top" wrapText="1"/>
    </xf>
    <xf numFmtId="17" fontId="6" fillId="4" borderId="9" xfId="0" applyNumberFormat="1" applyFont="1" applyFill="1" applyBorder="1" applyAlignment="1" applyProtection="1">
      <alignment vertical="top" wrapText="1"/>
    </xf>
    <xf numFmtId="0" fontId="6" fillId="4" borderId="9" xfId="0" applyNumberFormat="1" applyFont="1" applyFill="1" applyBorder="1" applyAlignment="1" applyProtection="1">
      <alignment vertical="top"/>
    </xf>
    <xf numFmtId="0" fontId="6" fillId="4" borderId="19" xfId="0" applyNumberFormat="1" applyFont="1" applyFill="1" applyBorder="1" applyAlignment="1" applyProtection="1">
      <alignment vertical="top"/>
    </xf>
    <xf numFmtId="49" fontId="6" fillId="4" borderId="16" xfId="0" applyNumberFormat="1" applyFont="1" applyFill="1" applyBorder="1" applyAlignment="1">
      <alignment vertical="top" wrapText="1"/>
    </xf>
    <xf numFmtId="0" fontId="21" fillId="4" borderId="2" xfId="0" applyFont="1" applyFill="1" applyBorder="1"/>
    <xf numFmtId="17" fontId="21" fillId="4" borderId="34" xfId="0" quotePrefix="1" applyNumberFormat="1" applyFont="1" applyFill="1" applyBorder="1" applyAlignment="1">
      <alignment horizontal="right"/>
    </xf>
    <xf numFmtId="17" fontId="21" fillId="4" borderId="35" xfId="0" quotePrefix="1" applyNumberFormat="1" applyFont="1" applyFill="1" applyBorder="1" applyAlignment="1">
      <alignment horizontal="right"/>
    </xf>
    <xf numFmtId="17" fontId="21" fillId="4" borderId="36" xfId="0" quotePrefix="1" applyNumberFormat="1" applyFont="1" applyFill="1" applyBorder="1" applyAlignment="1">
      <alignment horizontal="right"/>
    </xf>
    <xf numFmtId="0" fontId="21" fillId="4" borderId="7" xfId="0" applyFont="1" applyFill="1" applyBorder="1" applyAlignment="1">
      <alignment horizontal="right"/>
    </xf>
    <xf numFmtId="17" fontId="21" fillId="4" borderId="40" xfId="0" quotePrefix="1" applyNumberFormat="1" applyFont="1" applyFill="1" applyBorder="1" applyAlignment="1">
      <alignment horizontal="right"/>
    </xf>
    <xf numFmtId="17" fontId="21" fillId="4" borderId="41" xfId="0" quotePrefix="1" applyNumberFormat="1" applyFont="1" applyFill="1" applyBorder="1" applyAlignment="1">
      <alignment horizontal="right"/>
    </xf>
    <xf numFmtId="17" fontId="21" fillId="4" borderId="42" xfId="0" quotePrefix="1" applyNumberFormat="1" applyFont="1" applyFill="1" applyBorder="1" applyAlignment="1">
      <alignment horizontal="right"/>
    </xf>
    <xf numFmtId="0" fontId="2" fillId="0" borderId="0" xfId="0" applyFont="1" applyFill="1"/>
    <xf numFmtId="0" fontId="18" fillId="0" borderId="0" xfId="0" applyFont="1" applyFill="1"/>
    <xf numFmtId="0" fontId="0" fillId="0" borderId="0" xfId="0" applyFill="1"/>
    <xf numFmtId="0" fontId="18" fillId="0" borderId="2" xfId="0" applyFont="1" applyFill="1" applyBorder="1"/>
    <xf numFmtId="0" fontId="18" fillId="0" borderId="0" xfId="0" applyFont="1" applyFill="1" applyBorder="1"/>
    <xf numFmtId="0" fontId="21" fillId="0" borderId="0" xfId="0" applyFont="1" applyFill="1" applyBorder="1" applyAlignment="1">
      <alignment horizontal="right"/>
    </xf>
    <xf numFmtId="0" fontId="21" fillId="0" borderId="33" xfId="0" applyFont="1" applyFill="1" applyBorder="1"/>
    <xf numFmtId="49" fontId="6" fillId="0" borderId="26" xfId="0" applyNumberFormat="1" applyFont="1" applyFill="1" applyBorder="1" applyAlignment="1">
      <alignment vertical="top" wrapText="1"/>
    </xf>
    <xf numFmtId="0" fontId="21" fillId="0" borderId="47" xfId="0" applyFont="1" applyFill="1" applyBorder="1" applyAlignment="1">
      <alignment horizontal="right"/>
    </xf>
    <xf numFmtId="0" fontId="21" fillId="0" borderId="48" xfId="0" applyFont="1" applyFill="1" applyBorder="1" applyAlignment="1">
      <alignment horizontal="right"/>
    </xf>
    <xf numFmtId="17" fontId="21" fillId="0" borderId="48" xfId="0" quotePrefix="1" applyNumberFormat="1" applyFont="1" applyFill="1" applyBorder="1" applyAlignment="1">
      <alignment horizontal="right"/>
    </xf>
    <xf numFmtId="17" fontId="21" fillId="0" borderId="49" xfId="0" quotePrefix="1" applyNumberFormat="1" applyFont="1" applyFill="1" applyBorder="1" applyAlignment="1">
      <alignment horizontal="right"/>
    </xf>
    <xf numFmtId="0" fontId="21" fillId="0" borderId="50" xfId="0" applyFont="1" applyFill="1" applyBorder="1" applyAlignment="1">
      <alignment horizontal="right"/>
    </xf>
    <xf numFmtId="0" fontId="21" fillId="0" borderId="51" xfId="0" applyFont="1" applyFill="1" applyBorder="1" applyAlignment="1">
      <alignment horizontal="right"/>
    </xf>
    <xf numFmtId="0" fontId="18" fillId="0" borderId="50" xfId="0" applyFont="1" applyFill="1" applyBorder="1"/>
    <xf numFmtId="0" fontId="18" fillId="0" borderId="51" xfId="0" applyFont="1" applyFill="1" applyBorder="1"/>
    <xf numFmtId="0" fontId="18" fillId="0" borderId="52" xfId="0" applyFont="1" applyFill="1" applyBorder="1"/>
    <xf numFmtId="166" fontId="18" fillId="0" borderId="54" xfId="1" applyNumberFormat="1" applyFont="1" applyFill="1" applyBorder="1"/>
    <xf numFmtId="166" fontId="18" fillId="0" borderId="55" xfId="1" applyNumberFormat="1" applyFont="1" applyFill="1" applyBorder="1"/>
    <xf numFmtId="171" fontId="18" fillId="4" borderId="56" xfId="5" applyNumberFormat="1" applyFont="1" applyFill="1" applyBorder="1" applyAlignment="1">
      <alignment horizontal="right"/>
    </xf>
    <xf numFmtId="171" fontId="18" fillId="4" borderId="57" xfId="5" applyNumberFormat="1" applyFont="1" applyFill="1" applyBorder="1" applyAlignment="1">
      <alignment horizontal="right"/>
    </xf>
    <xf numFmtId="171" fontId="18" fillId="4" borderId="58" xfId="5" applyNumberFormat="1" applyFont="1" applyFill="1" applyBorder="1"/>
    <xf numFmtId="0" fontId="18" fillId="5" borderId="17" xfId="0" applyFont="1" applyFill="1" applyBorder="1" applyAlignment="1">
      <alignment vertical="top"/>
    </xf>
    <xf numFmtId="0" fontId="18" fillId="5" borderId="28" xfId="0" applyFont="1" applyFill="1" applyBorder="1" applyAlignment="1">
      <alignment vertical="top"/>
    </xf>
    <xf numFmtId="166" fontId="18" fillId="4" borderId="28" xfId="1" applyNumberFormat="1" applyFont="1" applyFill="1" applyBorder="1" applyAlignment="1">
      <alignment vertical="top"/>
    </xf>
    <xf numFmtId="166" fontId="18" fillId="4" borderId="16" xfId="1" applyNumberFormat="1" applyFont="1" applyFill="1" applyBorder="1" applyAlignment="1">
      <alignment vertical="top"/>
    </xf>
    <xf numFmtId="0" fontId="18" fillId="5" borderId="30" xfId="0" applyFont="1" applyFill="1" applyBorder="1" applyAlignment="1">
      <alignment vertical="top"/>
    </xf>
    <xf numFmtId="0" fontId="18" fillId="5" borderId="24" xfId="0" applyFont="1" applyFill="1" applyBorder="1" applyAlignment="1">
      <alignment vertical="top"/>
    </xf>
    <xf numFmtId="166" fontId="18" fillId="4" borderId="26" xfId="1" applyNumberFormat="1" applyFont="1" applyFill="1" applyBorder="1" applyAlignment="1">
      <alignment vertical="top"/>
    </xf>
    <xf numFmtId="17" fontId="21" fillId="0" borderId="51" xfId="0" quotePrefix="1" applyNumberFormat="1" applyFont="1" applyFill="1" applyBorder="1" applyAlignment="1">
      <alignment horizontal="right"/>
    </xf>
    <xf numFmtId="17" fontId="21" fillId="0" borderId="52" xfId="0" quotePrefix="1" applyNumberFormat="1" applyFont="1" applyFill="1" applyBorder="1" applyAlignment="1">
      <alignment horizontal="right"/>
    </xf>
    <xf numFmtId="49" fontId="6" fillId="0" borderId="16" xfId="0" applyNumberFormat="1" applyFont="1" applyFill="1" applyBorder="1" applyAlignment="1">
      <alignment vertical="top" wrapText="1"/>
    </xf>
    <xf numFmtId="166" fontId="18" fillId="0" borderId="38" xfId="1" applyNumberFormat="1" applyFont="1" applyFill="1" applyBorder="1"/>
    <xf numFmtId="166" fontId="18" fillId="0" borderId="39" xfId="1" applyNumberFormat="1" applyFont="1" applyFill="1" applyBorder="1"/>
    <xf numFmtId="0" fontId="18" fillId="5" borderId="37" xfId="0" applyFont="1" applyFill="1" applyBorder="1"/>
    <xf numFmtId="0" fontId="21" fillId="5" borderId="38" xfId="0" applyFont="1" applyFill="1" applyBorder="1" applyAlignment="1">
      <alignment wrapText="1"/>
    </xf>
    <xf numFmtId="0" fontId="18" fillId="5" borderId="38" xfId="0" applyFont="1" applyFill="1" applyBorder="1"/>
    <xf numFmtId="0" fontId="18" fillId="5" borderId="53" xfId="0" applyFont="1" applyFill="1" applyBorder="1"/>
    <xf numFmtId="0" fontId="18" fillId="5" borderId="54" xfId="0" applyFont="1" applyFill="1" applyBorder="1"/>
    <xf numFmtId="0" fontId="6" fillId="0" borderId="4" xfId="0" applyNumberFormat="1" applyFont="1" applyFill="1" applyBorder="1" applyAlignment="1" applyProtection="1">
      <alignment vertical="top"/>
    </xf>
    <xf numFmtId="171" fontId="18" fillId="0" borderId="56" xfId="5" applyNumberFormat="1" applyFont="1" applyFill="1" applyBorder="1" applyAlignment="1">
      <alignment horizontal="right"/>
    </xf>
    <xf numFmtId="171" fontId="18" fillId="0" borderId="57" xfId="5" applyNumberFormat="1" applyFont="1" applyFill="1" applyBorder="1" applyAlignment="1">
      <alignment horizontal="right"/>
    </xf>
    <xf numFmtId="171" fontId="18" fillId="0" borderId="58" xfId="5" applyNumberFormat="1" applyFont="1" applyFill="1" applyBorder="1" applyAlignment="1">
      <alignment horizontal="right"/>
    </xf>
    <xf numFmtId="0" fontId="18" fillId="7" borderId="0" xfId="0" applyFont="1" applyFill="1" applyBorder="1"/>
    <xf numFmtId="0" fontId="21" fillId="4" borderId="33" xfId="0" applyFont="1" applyFill="1" applyBorder="1"/>
    <xf numFmtId="49" fontId="21" fillId="4" borderId="44" xfId="0" applyNumberFormat="1" applyFont="1" applyFill="1" applyBorder="1" applyAlignment="1">
      <alignment horizontal="center"/>
    </xf>
    <xf numFmtId="49" fontId="21" fillId="4" borderId="46" xfId="0" applyNumberFormat="1" applyFont="1" applyFill="1" applyBorder="1" applyAlignment="1">
      <alignment horizontal="center"/>
    </xf>
    <xf numFmtId="49" fontId="21" fillId="4" borderId="45" xfId="0" applyNumberFormat="1" applyFont="1" applyFill="1" applyBorder="1" applyAlignment="1">
      <alignment horizontal="center"/>
    </xf>
    <xf numFmtId="172" fontId="18" fillId="5" borderId="31" xfId="5" applyNumberFormat="1" applyFont="1" applyFill="1" applyBorder="1" applyAlignment="1">
      <alignment vertical="top"/>
    </xf>
    <xf numFmtId="172" fontId="18" fillId="5" borderId="32" xfId="5" applyNumberFormat="1" applyFont="1" applyFill="1" applyBorder="1" applyAlignment="1">
      <alignment vertical="top"/>
    </xf>
    <xf numFmtId="0" fontId="18" fillId="7" borderId="50" xfId="0" applyFont="1" applyFill="1" applyBorder="1" applyAlignment="1">
      <alignment vertical="top"/>
    </xf>
    <xf numFmtId="0" fontId="18" fillId="7" borderId="51" xfId="0" applyFont="1" applyFill="1" applyBorder="1" applyAlignment="1">
      <alignment vertical="top"/>
    </xf>
    <xf numFmtId="0" fontId="18" fillId="7" borderId="60" xfId="0" applyFont="1" applyFill="1" applyBorder="1" applyAlignment="1">
      <alignment vertical="top"/>
    </xf>
    <xf numFmtId="0" fontId="18" fillId="7" borderId="61" xfId="0" applyFont="1" applyFill="1" applyBorder="1" applyAlignment="1">
      <alignment vertical="top"/>
    </xf>
    <xf numFmtId="166" fontId="18" fillId="5" borderId="31" xfId="1" applyNumberFormat="1" applyFont="1" applyFill="1" applyBorder="1" applyAlignment="1">
      <alignment vertical="top"/>
    </xf>
    <xf numFmtId="166" fontId="18" fillId="5" borderId="32" xfId="1" applyNumberFormat="1" applyFont="1" applyFill="1" applyBorder="1" applyAlignment="1">
      <alignment vertical="top"/>
    </xf>
    <xf numFmtId="0" fontId="18" fillId="8" borderId="59" xfId="0" applyFont="1" applyFill="1" applyBorder="1" applyAlignment="1">
      <alignment vertical="top"/>
    </xf>
    <xf numFmtId="0" fontId="18" fillId="8" borderId="60" xfId="0" applyFont="1" applyFill="1" applyBorder="1" applyAlignment="1">
      <alignment vertical="top"/>
    </xf>
    <xf numFmtId="0" fontId="18" fillId="8" borderId="61" xfId="0" applyFont="1" applyFill="1" applyBorder="1" applyAlignment="1">
      <alignment vertical="top"/>
    </xf>
    <xf numFmtId="0" fontId="18" fillId="3" borderId="59" xfId="0" applyFont="1" applyFill="1" applyBorder="1" applyAlignment="1">
      <alignment vertical="top"/>
    </xf>
    <xf numFmtId="0" fontId="18" fillId="3" borderId="60" xfId="0" applyFont="1" applyFill="1" applyBorder="1" applyAlignment="1">
      <alignment vertical="top"/>
    </xf>
    <xf numFmtId="0" fontId="18" fillId="3" borderId="61" xfId="0" applyFont="1" applyFill="1" applyBorder="1" applyAlignment="1">
      <alignment vertical="top"/>
    </xf>
    <xf numFmtId="0" fontId="18" fillId="6" borderId="59" xfId="0" applyFont="1" applyFill="1" applyBorder="1" applyAlignment="1">
      <alignment vertical="top"/>
    </xf>
    <xf numFmtId="0" fontId="18" fillId="6" borderId="60" xfId="0" applyFont="1" applyFill="1" applyBorder="1" applyAlignment="1">
      <alignment vertical="top"/>
    </xf>
    <xf numFmtId="166" fontId="18" fillId="6" borderId="60" xfId="0" applyNumberFormat="1" applyFont="1" applyFill="1" applyBorder="1" applyAlignment="1">
      <alignment vertical="top"/>
    </xf>
    <xf numFmtId="166" fontId="18" fillId="6" borderId="61" xfId="0" applyNumberFormat="1" applyFont="1" applyFill="1" applyBorder="1" applyAlignment="1">
      <alignment vertical="top"/>
    </xf>
    <xf numFmtId="9" fontId="18" fillId="5" borderId="31" xfId="1" applyFont="1" applyFill="1" applyBorder="1" applyAlignment="1">
      <alignment vertical="top"/>
    </xf>
    <xf numFmtId="49" fontId="21" fillId="4" borderId="47" xfId="0" applyNumberFormat="1" applyFont="1" applyFill="1" applyBorder="1" applyAlignment="1">
      <alignment horizontal="right"/>
    </xf>
    <xf numFmtId="49" fontId="21" fillId="4" borderId="48" xfId="0" applyNumberFormat="1" applyFont="1" applyFill="1" applyBorder="1" applyAlignment="1">
      <alignment horizontal="right"/>
    </xf>
    <xf numFmtId="49" fontId="21" fillId="4" borderId="48" xfId="0" quotePrefix="1" applyNumberFormat="1" applyFont="1" applyFill="1" applyBorder="1" applyAlignment="1">
      <alignment horizontal="right"/>
    </xf>
    <xf numFmtId="49" fontId="21" fillId="4" borderId="49" xfId="0" applyNumberFormat="1" applyFont="1" applyFill="1" applyBorder="1" applyAlignment="1">
      <alignment horizontal="right"/>
    </xf>
    <xf numFmtId="0" fontId="21" fillId="4" borderId="67" xfId="0" applyFont="1" applyFill="1" applyBorder="1" applyAlignment="1">
      <alignment wrapText="1"/>
    </xf>
    <xf numFmtId="168" fontId="18" fillId="5" borderId="68" xfId="5" applyNumberFormat="1" applyFont="1" applyFill="1" applyBorder="1"/>
    <xf numFmtId="168" fontId="18" fillId="5" borderId="69" xfId="5" applyNumberFormat="1" applyFont="1" applyFill="1" applyBorder="1"/>
    <xf numFmtId="168" fontId="18" fillId="5" borderId="70" xfId="5" applyNumberFormat="1" applyFont="1" applyFill="1" applyBorder="1"/>
    <xf numFmtId="172" fontId="18" fillId="4" borderId="71" xfId="5" applyNumberFormat="1" applyFont="1" applyFill="1" applyBorder="1" applyAlignment="1">
      <alignment vertical="top"/>
    </xf>
    <xf numFmtId="172" fontId="18" fillId="4" borderId="72" xfId="5" applyNumberFormat="1" applyFont="1" applyFill="1" applyBorder="1" applyAlignment="1">
      <alignment vertical="top"/>
    </xf>
    <xf numFmtId="172" fontId="18" fillId="4" borderId="73" xfId="5" applyNumberFormat="1" applyFont="1" applyFill="1" applyBorder="1" applyAlignment="1">
      <alignment vertical="top"/>
    </xf>
    <xf numFmtId="0" fontId="21" fillId="4" borderId="67" xfId="0" applyFont="1" applyFill="1" applyBorder="1"/>
    <xf numFmtId="0" fontId="21" fillId="4" borderId="66" xfId="0" applyFont="1" applyFill="1" applyBorder="1"/>
    <xf numFmtId="168" fontId="18" fillId="5" borderId="74" xfId="5" applyNumberFormat="1" applyFont="1" applyFill="1" applyBorder="1"/>
    <xf numFmtId="168" fontId="18" fillId="5" borderId="75" xfId="5" applyNumberFormat="1" applyFont="1" applyFill="1" applyBorder="1"/>
    <xf numFmtId="168" fontId="18" fillId="5" borderId="76" xfId="5" applyNumberFormat="1" applyFont="1" applyFill="1" applyBorder="1"/>
    <xf numFmtId="172" fontId="18" fillId="4" borderId="65" xfId="5" applyNumberFormat="1" applyFont="1" applyFill="1" applyBorder="1" applyAlignment="1">
      <alignment vertical="top"/>
    </xf>
    <xf numFmtId="172" fontId="18" fillId="4" borderId="62" xfId="5" applyNumberFormat="1" applyFont="1" applyFill="1" applyBorder="1" applyAlignment="1">
      <alignment vertical="top"/>
    </xf>
    <xf numFmtId="0" fontId="21" fillId="7" borderId="67" xfId="0" applyFont="1" applyFill="1" applyBorder="1"/>
    <xf numFmtId="9" fontId="18" fillId="7" borderId="68" xfId="1" applyFont="1" applyFill="1" applyBorder="1"/>
    <xf numFmtId="9" fontId="18" fillId="7" borderId="69" xfId="1" applyFont="1" applyFill="1" applyBorder="1"/>
    <xf numFmtId="9" fontId="18" fillId="7" borderId="70" xfId="1" applyFont="1" applyFill="1" applyBorder="1"/>
    <xf numFmtId="166" fontId="18" fillId="7" borderId="71" xfId="1" applyNumberFormat="1" applyFont="1" applyFill="1" applyBorder="1" applyAlignment="1">
      <alignment vertical="top"/>
    </xf>
    <xf numFmtId="166" fontId="18" fillId="7" borderId="72" xfId="1" applyNumberFormat="1" applyFont="1" applyFill="1" applyBorder="1" applyAlignment="1">
      <alignment vertical="top"/>
    </xf>
    <xf numFmtId="166" fontId="18" fillId="7" borderId="73" xfId="1" applyNumberFormat="1" applyFont="1" applyFill="1" applyBorder="1" applyAlignment="1">
      <alignment vertical="top"/>
    </xf>
    <xf numFmtId="0" fontId="21" fillId="7" borderId="66" xfId="0" applyFont="1" applyFill="1" applyBorder="1"/>
    <xf numFmtId="9" fontId="18" fillId="7" borderId="74" xfId="1" applyFont="1" applyFill="1" applyBorder="1"/>
    <xf numFmtId="9" fontId="18" fillId="7" borderId="75" xfId="1" applyFont="1" applyFill="1" applyBorder="1"/>
    <xf numFmtId="9" fontId="18" fillId="7" borderId="76" xfId="1" applyFont="1" applyFill="1" applyBorder="1"/>
    <xf numFmtId="166" fontId="18" fillId="7" borderId="65" xfId="1" applyNumberFormat="1" applyFont="1" applyFill="1" applyBorder="1" applyAlignment="1">
      <alignment vertical="top"/>
    </xf>
    <xf numFmtId="166" fontId="18" fillId="7" borderId="62" xfId="1" applyNumberFormat="1" applyFont="1" applyFill="1" applyBorder="1" applyAlignment="1">
      <alignment vertical="top"/>
    </xf>
    <xf numFmtId="0" fontId="21" fillId="8" borderId="67" xfId="0" applyFont="1" applyFill="1" applyBorder="1"/>
    <xf numFmtId="168" fontId="18" fillId="8" borderId="68" xfId="5" applyNumberFormat="1" applyFont="1" applyFill="1" applyBorder="1"/>
    <xf numFmtId="168" fontId="18" fillId="8" borderId="69" xfId="5" applyNumberFormat="1" applyFont="1" applyFill="1" applyBorder="1"/>
    <xf numFmtId="168" fontId="18" fillId="8" borderId="70" xfId="5" applyNumberFormat="1" applyFont="1" applyFill="1" applyBorder="1"/>
    <xf numFmtId="172" fontId="18" fillId="8" borderId="71" xfId="5" applyNumberFormat="1" applyFont="1" applyFill="1" applyBorder="1" applyAlignment="1">
      <alignment vertical="top"/>
    </xf>
    <xf numFmtId="172" fontId="18" fillId="8" borderId="72" xfId="5" applyNumberFormat="1" applyFont="1" applyFill="1" applyBorder="1" applyAlignment="1">
      <alignment vertical="top"/>
    </xf>
    <xf numFmtId="172" fontId="18" fillId="8" borderId="73" xfId="5" applyNumberFormat="1" applyFont="1" applyFill="1" applyBorder="1" applyAlignment="1">
      <alignment vertical="top"/>
    </xf>
    <xf numFmtId="9" fontId="18" fillId="8" borderId="68" xfId="1" applyFont="1" applyFill="1" applyBorder="1"/>
    <xf numFmtId="9" fontId="18" fillId="8" borderId="69" xfId="1" applyFont="1" applyFill="1" applyBorder="1"/>
    <xf numFmtId="9" fontId="18" fillId="8" borderId="70" xfId="1" applyFont="1" applyFill="1" applyBorder="1"/>
    <xf numFmtId="166" fontId="18" fillId="8" borderId="71" xfId="1" applyNumberFormat="1" applyFont="1" applyFill="1" applyBorder="1" applyAlignment="1">
      <alignment vertical="top"/>
    </xf>
    <xf numFmtId="166" fontId="18" fillId="8" borderId="72" xfId="1" applyNumberFormat="1" applyFont="1" applyFill="1" applyBorder="1" applyAlignment="1">
      <alignment vertical="top"/>
    </xf>
    <xf numFmtId="166" fontId="18" fillId="8" borderId="73" xfId="1" applyNumberFormat="1" applyFont="1" applyFill="1" applyBorder="1" applyAlignment="1">
      <alignment vertical="top"/>
    </xf>
    <xf numFmtId="0" fontId="21" fillId="8" borderId="66" xfId="0" applyFont="1" applyFill="1" applyBorder="1"/>
    <xf numFmtId="9" fontId="18" fillId="8" borderId="74" xfId="1" applyFont="1" applyFill="1" applyBorder="1"/>
    <xf numFmtId="9" fontId="18" fillId="8" borderId="75" xfId="1" applyFont="1" applyFill="1" applyBorder="1"/>
    <xf numFmtId="9" fontId="18" fillId="8" borderId="76" xfId="1" applyFont="1" applyFill="1" applyBorder="1"/>
    <xf numFmtId="166" fontId="18" fillId="8" borderId="65" xfId="1" applyNumberFormat="1" applyFont="1" applyFill="1" applyBorder="1" applyAlignment="1">
      <alignment vertical="top"/>
    </xf>
    <xf numFmtId="166" fontId="18" fillId="8" borderId="62" xfId="1" applyNumberFormat="1" applyFont="1" applyFill="1" applyBorder="1" applyAlignment="1">
      <alignment vertical="top"/>
    </xf>
    <xf numFmtId="0" fontId="21" fillId="3" borderId="67" xfId="0" applyFont="1" applyFill="1" applyBorder="1"/>
    <xf numFmtId="9" fontId="18" fillId="3" borderId="68" xfId="1" applyFont="1" applyFill="1" applyBorder="1"/>
    <xf numFmtId="9" fontId="18" fillId="3" borderId="69" xfId="1" applyFont="1" applyFill="1" applyBorder="1"/>
    <xf numFmtId="9" fontId="18" fillId="3" borderId="70" xfId="1" applyFont="1" applyFill="1" applyBorder="1"/>
    <xf numFmtId="166" fontId="18" fillId="3" borderId="72" xfId="1" applyNumberFormat="1" applyFont="1" applyFill="1" applyBorder="1" applyAlignment="1">
      <alignment vertical="top"/>
    </xf>
    <xf numFmtId="166" fontId="18" fillId="3" borderId="73" xfId="1" applyNumberFormat="1" applyFont="1" applyFill="1" applyBorder="1" applyAlignment="1">
      <alignment vertical="top"/>
    </xf>
    <xf numFmtId="0" fontId="21" fillId="3" borderId="66" xfId="0" applyFont="1" applyFill="1" applyBorder="1"/>
    <xf numFmtId="9" fontId="18" fillId="3" borderId="74" xfId="1" applyFont="1" applyFill="1" applyBorder="1"/>
    <xf numFmtId="9" fontId="18" fillId="3" borderId="75" xfId="1" applyFont="1" applyFill="1" applyBorder="1"/>
    <xf numFmtId="9" fontId="18" fillId="3" borderId="76" xfId="1" applyFont="1" applyFill="1" applyBorder="1"/>
    <xf numFmtId="166" fontId="18" fillId="3" borderId="65" xfId="1" applyNumberFormat="1" applyFont="1" applyFill="1" applyBorder="1" applyAlignment="1">
      <alignment vertical="top"/>
    </xf>
    <xf numFmtId="166" fontId="18" fillId="3" borderId="62" xfId="1" applyNumberFormat="1" applyFont="1" applyFill="1" applyBorder="1" applyAlignment="1">
      <alignment vertical="top"/>
    </xf>
    <xf numFmtId="0" fontId="21" fillId="6" borderId="67" xfId="0" applyFont="1" applyFill="1" applyBorder="1"/>
    <xf numFmtId="9" fontId="18" fillId="6" borderId="68" xfId="1" applyFont="1" applyFill="1" applyBorder="1"/>
    <xf numFmtId="9" fontId="18" fillId="6" borderId="69" xfId="1" applyFont="1" applyFill="1" applyBorder="1"/>
    <xf numFmtId="9" fontId="18" fillId="6" borderId="70" xfId="1" applyFont="1" applyFill="1" applyBorder="1"/>
    <xf numFmtId="9" fontId="18" fillId="6" borderId="71" xfId="1" applyFont="1" applyFill="1" applyBorder="1" applyAlignment="1">
      <alignment vertical="top"/>
    </xf>
    <xf numFmtId="166" fontId="18" fillId="6" borderId="72" xfId="1" applyNumberFormat="1" applyFont="1" applyFill="1" applyBorder="1" applyAlignment="1">
      <alignment vertical="top"/>
    </xf>
    <xf numFmtId="166" fontId="18" fillId="6" borderId="73" xfId="1" applyNumberFormat="1" applyFont="1" applyFill="1" applyBorder="1" applyAlignment="1">
      <alignment vertical="top"/>
    </xf>
    <xf numFmtId="0" fontId="21" fillId="6" borderId="66" xfId="0" applyFont="1" applyFill="1" applyBorder="1"/>
    <xf numFmtId="9" fontId="18" fillId="6" borderId="74" xfId="1" applyFont="1" applyFill="1" applyBorder="1"/>
    <xf numFmtId="9" fontId="18" fillId="6" borderId="75" xfId="1" applyFont="1" applyFill="1" applyBorder="1"/>
    <xf numFmtId="9" fontId="18" fillId="6" borderId="76" xfId="1" applyFont="1" applyFill="1" applyBorder="1"/>
    <xf numFmtId="166" fontId="18" fillId="6" borderId="65" xfId="1" applyNumberFormat="1" applyFont="1" applyFill="1" applyBorder="1" applyAlignment="1">
      <alignment vertical="top"/>
    </xf>
    <xf numFmtId="166" fontId="18" fillId="6" borderId="62" xfId="1" applyNumberFormat="1" applyFont="1" applyFill="1" applyBorder="1" applyAlignment="1">
      <alignment vertical="top"/>
    </xf>
    <xf numFmtId="0" fontId="21" fillId="6" borderId="78" xfId="5" applyNumberFormat="1" applyFont="1" applyFill="1" applyBorder="1"/>
    <xf numFmtId="168" fontId="18" fillId="6" borderId="79" xfId="5" applyNumberFormat="1" applyFont="1" applyFill="1" applyBorder="1"/>
    <xf numFmtId="168" fontId="18" fillId="6" borderId="80" xfId="5" applyNumberFormat="1" applyFont="1" applyFill="1" applyBorder="1"/>
    <xf numFmtId="168" fontId="18" fillId="6" borderId="81" xfId="5" applyNumberFormat="1" applyFont="1" applyFill="1" applyBorder="1"/>
    <xf numFmtId="172" fontId="18" fillId="6" borderId="82" xfId="5" applyNumberFormat="1" applyFont="1" applyFill="1" applyBorder="1" applyAlignment="1">
      <alignment vertical="top"/>
    </xf>
    <xf numFmtId="172" fontId="18" fillId="6" borderId="83" xfId="5" applyNumberFormat="1" applyFont="1" applyFill="1" applyBorder="1" applyAlignment="1">
      <alignment vertical="top"/>
    </xf>
    <xf numFmtId="172" fontId="18" fillId="6" borderId="84" xfId="5" applyNumberFormat="1" applyFont="1" applyFill="1" applyBorder="1" applyAlignment="1">
      <alignment vertical="top"/>
    </xf>
    <xf numFmtId="0" fontId="21" fillId="3" borderId="78" xfId="0" applyFont="1" applyFill="1" applyBorder="1"/>
    <xf numFmtId="168" fontId="18" fillId="3" borderId="79" xfId="5" applyNumberFormat="1" applyFont="1" applyFill="1" applyBorder="1"/>
    <xf numFmtId="168" fontId="18" fillId="3" borderId="80" xfId="5" applyNumberFormat="1" applyFont="1" applyFill="1" applyBorder="1"/>
    <xf numFmtId="168" fontId="18" fillId="3" borderId="81" xfId="5" applyNumberFormat="1" applyFont="1" applyFill="1" applyBorder="1"/>
    <xf numFmtId="172" fontId="18" fillId="3" borderId="83" xfId="5" applyNumberFormat="1" applyFont="1" applyFill="1" applyBorder="1" applyAlignment="1">
      <alignment vertical="top"/>
    </xf>
    <xf numFmtId="172" fontId="18" fillId="3" borderId="84" xfId="5" applyNumberFormat="1" applyFont="1" applyFill="1" applyBorder="1" applyAlignment="1">
      <alignment vertical="top"/>
    </xf>
    <xf numFmtId="0" fontId="21" fillId="7" borderId="78" xfId="0" applyFont="1" applyFill="1" applyBorder="1"/>
    <xf numFmtId="168" fontId="18" fillId="7" borderId="79" xfId="5" applyNumberFormat="1" applyFont="1" applyFill="1" applyBorder="1"/>
    <xf numFmtId="168" fontId="18" fillId="7" borderId="80" xfId="5" applyNumberFormat="1" applyFont="1" applyFill="1" applyBorder="1"/>
    <xf numFmtId="168" fontId="18" fillId="7" borderId="81" xfId="5" applyNumberFormat="1" applyFont="1" applyFill="1" applyBorder="1"/>
    <xf numFmtId="172" fontId="18" fillId="7" borderId="82" xfId="5" applyNumberFormat="1" applyFont="1" applyFill="1" applyBorder="1" applyAlignment="1">
      <alignment vertical="top"/>
    </xf>
    <xf numFmtId="172" fontId="18" fillId="7" borderId="83" xfId="5" applyNumberFormat="1" applyFont="1" applyFill="1" applyBorder="1" applyAlignment="1">
      <alignment vertical="top"/>
    </xf>
    <xf numFmtId="172" fontId="18" fillId="7" borderId="84" xfId="5" applyNumberFormat="1" applyFont="1" applyFill="1" applyBorder="1" applyAlignment="1">
      <alignment vertical="top"/>
    </xf>
    <xf numFmtId="166" fontId="18" fillId="7" borderId="85" xfId="1" applyNumberFormat="1" applyFont="1" applyFill="1" applyBorder="1"/>
    <xf numFmtId="166" fontId="18" fillId="7" borderId="86" xfId="1" applyNumberFormat="1" applyFont="1" applyFill="1" applyBorder="1"/>
    <xf numFmtId="166" fontId="18" fillId="6" borderId="26" xfId="1" applyNumberFormat="1" applyFont="1" applyFill="1" applyBorder="1" applyAlignment="1">
      <alignment vertical="top"/>
    </xf>
    <xf numFmtId="166" fontId="18" fillId="6" borderId="24" xfId="1" applyNumberFormat="1" applyFont="1" applyFill="1" applyBorder="1" applyAlignment="1">
      <alignment vertical="top"/>
    </xf>
    <xf numFmtId="49" fontId="6" fillId="7" borderId="85" xfId="0" applyNumberFormat="1" applyFont="1" applyFill="1" applyBorder="1" applyAlignment="1">
      <alignment vertical="top" wrapText="1"/>
    </xf>
    <xf numFmtId="49" fontId="6" fillId="6" borderId="26" xfId="0" applyNumberFormat="1" applyFont="1" applyFill="1" applyBorder="1" applyAlignment="1">
      <alignment vertical="top" wrapText="1"/>
    </xf>
    <xf numFmtId="49" fontId="6" fillId="7" borderId="7" xfId="0" applyNumberFormat="1" applyFont="1" applyFill="1" applyBorder="1" applyAlignment="1">
      <alignment vertical="top" wrapText="1"/>
    </xf>
    <xf numFmtId="166" fontId="18" fillId="7" borderId="7" xfId="1" applyNumberFormat="1" applyFont="1" applyFill="1" applyBorder="1" applyAlignment="1">
      <alignment vertical="top"/>
    </xf>
    <xf numFmtId="166" fontId="18" fillId="7" borderId="9" xfId="1" applyNumberFormat="1" applyFont="1" applyFill="1" applyBorder="1" applyAlignment="1">
      <alignment vertical="top"/>
    </xf>
    <xf numFmtId="49" fontId="6" fillId="6" borderId="4" xfId="0" applyNumberFormat="1" applyFont="1" applyFill="1" applyBorder="1" applyAlignment="1">
      <alignment vertical="top" wrapText="1"/>
    </xf>
    <xf numFmtId="166" fontId="18" fillId="6" borderId="4" xfId="1" applyNumberFormat="1" applyFont="1" applyFill="1" applyBorder="1" applyAlignment="1">
      <alignment vertical="top"/>
    </xf>
    <xf numFmtId="166" fontId="18" fillId="6" borderId="6" xfId="1" applyNumberFormat="1" applyFont="1" applyFill="1" applyBorder="1" applyAlignment="1">
      <alignment vertical="top"/>
    </xf>
    <xf numFmtId="49" fontId="6" fillId="3" borderId="16" xfId="0" applyNumberFormat="1" applyFont="1" applyFill="1" applyBorder="1" applyAlignment="1">
      <alignment vertical="top" wrapText="1"/>
    </xf>
    <xf numFmtId="166" fontId="18" fillId="3" borderId="16" xfId="1" applyNumberFormat="1" applyFont="1" applyFill="1" applyBorder="1" applyAlignment="1">
      <alignment vertical="top"/>
    </xf>
    <xf numFmtId="166" fontId="18" fillId="3" borderId="28" xfId="1" applyNumberFormat="1" applyFont="1" applyFill="1" applyBorder="1" applyAlignment="1">
      <alignment vertical="top"/>
    </xf>
    <xf numFmtId="172" fontId="18" fillId="5" borderId="63" xfId="5" applyNumberFormat="1" applyFont="1" applyFill="1" applyBorder="1" applyAlignment="1">
      <alignment vertical="top"/>
    </xf>
    <xf numFmtId="172" fontId="18" fillId="5" borderId="64" xfId="5" applyNumberFormat="1" applyFont="1" applyFill="1" applyBorder="1" applyAlignment="1">
      <alignment vertical="top"/>
    </xf>
    <xf numFmtId="166" fontId="18" fillId="5" borderId="63" xfId="1" applyNumberFormat="1" applyFont="1" applyFill="1" applyBorder="1" applyAlignment="1">
      <alignment vertical="top"/>
    </xf>
    <xf numFmtId="166" fontId="18" fillId="5" borderId="64" xfId="1" applyNumberFormat="1" applyFont="1" applyFill="1" applyBorder="1" applyAlignment="1">
      <alignment vertical="top"/>
    </xf>
    <xf numFmtId="9" fontId="18" fillId="5" borderId="63" xfId="1" applyFont="1" applyFill="1" applyBorder="1" applyAlignment="1">
      <alignment vertical="top"/>
    </xf>
    <xf numFmtId="0" fontId="2" fillId="7" borderId="85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4" borderId="25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4" borderId="12" xfId="0" applyFont="1" applyFill="1" applyBorder="1" applyAlignment="1">
      <alignment horizontal="center" vertical="center"/>
    </xf>
    <xf numFmtId="0" fontId="21" fillId="4" borderId="0" xfId="0" applyFont="1" applyFill="1" applyBorder="1" applyAlignment="1">
      <alignment horizontal="center" vertical="center"/>
    </xf>
    <xf numFmtId="0" fontId="21" fillId="4" borderId="14" xfId="0" applyFont="1" applyFill="1" applyBorder="1" applyAlignment="1">
      <alignment horizontal="center" vertical="center"/>
    </xf>
    <xf numFmtId="168" fontId="18" fillId="9" borderId="82" xfId="5" applyNumberFormat="1" applyFont="1" applyFill="1" applyBorder="1" applyAlignment="1">
      <alignment horizontal="center" vertical="center"/>
    </xf>
    <xf numFmtId="168" fontId="18" fillId="9" borderId="83" xfId="5" applyNumberFormat="1" applyFont="1" applyFill="1" applyBorder="1" applyAlignment="1">
      <alignment horizontal="center" vertical="center"/>
    </xf>
    <xf numFmtId="168" fontId="18" fillId="9" borderId="71" xfId="5" applyNumberFormat="1" applyFont="1" applyFill="1" applyBorder="1" applyAlignment="1">
      <alignment horizontal="center" vertical="center"/>
    </xf>
    <xf numFmtId="168" fontId="18" fillId="9" borderId="72" xfId="5" applyNumberFormat="1" applyFont="1" applyFill="1" applyBorder="1" applyAlignment="1">
      <alignment horizontal="center" vertical="center"/>
    </xf>
    <xf numFmtId="168" fontId="18" fillId="9" borderId="77" xfId="5" applyNumberFormat="1" applyFont="1" applyFill="1" applyBorder="1" applyAlignment="1">
      <alignment horizontal="center" vertical="center"/>
    </xf>
    <xf numFmtId="168" fontId="18" fillId="9" borderId="65" xfId="5" applyNumberFormat="1" applyFont="1" applyFill="1" applyBorder="1" applyAlignment="1">
      <alignment horizontal="center" vertical="center"/>
    </xf>
    <xf numFmtId="0" fontId="21" fillId="4" borderId="22" xfId="0" applyFont="1" applyFill="1" applyBorder="1" applyAlignment="1">
      <alignment horizontal="center" vertical="center"/>
    </xf>
    <xf numFmtId="0" fontId="21" fillId="4" borderId="43" xfId="0" applyFont="1" applyFill="1" applyBorder="1" applyAlignment="1">
      <alignment horizontal="center" vertical="center"/>
    </xf>
  </cellXfs>
  <cellStyles count="6">
    <cellStyle name="Comma" xfId="5" builtinId="3"/>
    <cellStyle name="Normal" xfId="0" builtinId="0"/>
    <cellStyle name="Normal 18 2" xfId="2" xr:uid="{00000000-0005-0000-0000-000002000000}"/>
    <cellStyle name="Normal_(LFS-Historical)Growth_Employment 2" xfId="3" xr:uid="{00000000-0005-0000-0000-000003000000}"/>
    <cellStyle name="Percent" xfId="1" builtinId="5"/>
    <cellStyle name="Percent 4" xfId="4" xr:uid="{00000000-0005-0000-0000-000005000000}"/>
  </cellStyles>
  <dxfs count="0"/>
  <tableStyles count="0" defaultTableStyle="TableStyleMedium2" defaultPivotStyle="PivotStyleLight16"/>
  <colors>
    <mruColors>
      <color rgb="FFA4343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20\4.%20ENE\A.%20Database\Budget2020-Vote19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5%2016\Formula\2015%20Formula%20-%20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6-17\Formula\2016%20LGES%20-%20final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22_23\2022%20MTEF%20LGES%20Formula%20-%20Final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7-18\2017%20MTEF\Final%20formula\2017%20LGES%20-%20final%20CS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08\2.%20DBase\H.%20Tab%20Chapters\BR%202008%20-%20Tables%20for%20Annexure%20W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10\2.%20DBase\H.%20Tab%20Chapters\BR%202010%20-%20Tables%20for%20Annexure%20W1%20-%20Rigard%20Fin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14\2.%20Dbase\G.%20Tab%20Chapters\BR%202014%20-%20Tables%20for%20Annexure%20W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18\2.%20DBase\G.%20Tab%20Chapters\BR%202018%20-%20Tables%20for%20Annexure%20W1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22\2.%20Dbase\G.%20Tab%20Chapters\BR%202022%20-%20Tables%20for%20Annexure%20W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4%2005\Model\2005v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5%2006\Model\2006newboundv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6%2007\Model\2007%20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8%2009\Model\2008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9%2010\Model\2009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0%2011\Model\Final\2010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1%2012\2011%20Formula\Final\LGES%202011%20Final%20(R'000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2%2013\Formula%202012\LGES%202012%20Draft%204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Help"/>
      <sheetName val="Settings"/>
      <sheetName val="Summar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Direct_charges"/>
      <sheetName val="PM"/>
      <sheetName val="Expend Trends"/>
      <sheetName val="Significant Spending"/>
      <sheetName val="Prov_Cond_Grants"/>
      <sheetName val="Grants Admin"/>
      <sheetName val="Budget Tracking"/>
      <sheetName val="NMOG"/>
      <sheetName val="Function shifts"/>
      <sheetName val="Performance Indicators"/>
      <sheetName val="Reprioritisation"/>
      <sheetName val="Personnel"/>
      <sheetName val="Receipts"/>
      <sheetName val="Analysis"/>
      <sheetName val="InfraS Summary"/>
      <sheetName val="InfraS 1.1"/>
      <sheetName val="InfraS 1.2"/>
      <sheetName val="ODA Summary"/>
      <sheetName val="Deviations"/>
      <sheetName val="Dept specific info"/>
      <sheetName val="Dept specific info-Own Format"/>
      <sheetName val="Training"/>
      <sheetName val="PPP Projects"/>
      <sheetName val="Outputs"/>
      <sheetName val="Checks"/>
      <sheetName val="Metadata"/>
    </sheetNames>
    <sheetDataSet>
      <sheetData sheetId="0"/>
      <sheetData sheetId="1"/>
      <sheetData sheetId="2"/>
      <sheetData sheetId="3"/>
      <sheetData sheetId="4"/>
      <sheetData sheetId="5">
        <row r="47">
          <cell r="L47">
            <v>70542096</v>
          </cell>
        </row>
        <row r="48">
          <cell r="L48">
            <v>2380</v>
          </cell>
        </row>
        <row r="49">
          <cell r="L49">
            <v>21960632</v>
          </cell>
        </row>
        <row r="50">
          <cell r="L50">
            <v>5114211</v>
          </cell>
        </row>
        <row r="51">
          <cell r="L51">
            <v>3068028</v>
          </cell>
        </row>
        <row r="52">
          <cell r="L52">
            <v>60611568</v>
          </cell>
        </row>
        <row r="53">
          <cell r="L53">
            <v>994205</v>
          </cell>
        </row>
        <row r="54">
          <cell r="L54">
            <v>416720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New HH numbers"/>
      <sheetName val="Inputs"/>
      <sheetName val="Analysis"/>
      <sheetName val="HISTORICAL Formula- 2013-14"/>
      <sheetName val="HISTORICAL Formula- 2014-15"/>
      <sheetName val="Formula- 2015-16"/>
      <sheetName val="Formula- 2016-17"/>
      <sheetName val="Formula- 2017-18"/>
      <sheetName val="Revenue Adjustment data &gt;"/>
      <sheetName val="Rates model A&amp;B-Reg Analysis"/>
      <sheetName val="Regression Results"/>
      <sheetName val="Rev Adj Fact Fraction -A and B"/>
      <sheetName val="RSC Adjustment Fraction - C"/>
      <sheetName val="Tran Protec Info"/>
      <sheetName val="REDUNDANT 2016-7 hypothetical"/>
      <sheetName val="2017-8 hypothetical"/>
      <sheetName val="Formula allocations"/>
      <sheetName val="Councillors"/>
      <sheetName val="RSC"/>
      <sheetName val="Schedule 3"/>
      <sheetName val="Districts 2015"/>
      <sheetName val="Sheet3"/>
      <sheetName val="OLD DoNotUse Distric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91">
          <cell r="W291">
            <v>5719266696.8933868</v>
          </cell>
          <cell r="X291">
            <v>8782964670.7659702</v>
          </cell>
          <cell r="Y291">
            <v>7319137225.6383095</v>
          </cell>
          <cell r="Z291">
            <v>6135503566.6074829</v>
          </cell>
          <cell r="AF291">
            <v>27956872159.905155</v>
          </cell>
        </row>
      </sheetData>
      <sheetData sheetId="5">
        <row r="291">
          <cell r="W291">
            <v>6289286430.9863253</v>
          </cell>
          <cell r="X291">
            <v>9720626029.3113461</v>
          </cell>
          <cell r="Y291">
            <v>7937373623.5110846</v>
          </cell>
          <cell r="Z291">
            <v>6653760228.1806192</v>
          </cell>
          <cell r="AF291">
            <v>30601046311.989376</v>
          </cell>
        </row>
      </sheetData>
      <sheetData sheetId="6">
        <row r="291">
          <cell r="V291">
            <v>7121529680.3433552</v>
          </cell>
          <cell r="W291">
            <v>10731824664.789782</v>
          </cell>
          <cell r="X291">
            <v>8651325118.7759514</v>
          </cell>
          <cell r="Y291">
            <v>7252253166.6977425</v>
          </cell>
          <cell r="AE291">
            <v>33756932630.6068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2016-17 Calculations"/>
      <sheetName val="2017-18 Calculations"/>
      <sheetName val="2018-19 Calculations"/>
      <sheetName val="Comparison (new vs old boundary"/>
      <sheetName val="Analysis"/>
      <sheetName val="Councilor Remuneration"/>
      <sheetName val="RSC Levies"/>
      <sheetName val="Schedule 3"/>
    </sheetNames>
    <sheetDataSet>
      <sheetData sheetId="0"/>
      <sheetData sheetId="1">
        <row r="269">
          <cell r="K269">
            <v>11838535156.632759</v>
          </cell>
          <cell r="L269">
            <v>9402933725.611536</v>
          </cell>
          <cell r="M269">
            <v>7882313397.2641125</v>
          </cell>
          <cell r="N269">
            <v>7829630088.0377474</v>
          </cell>
          <cell r="O269">
            <v>36953412367.546135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2017-18 Calculations - history"/>
      <sheetName val="2018-19 Calculations - history"/>
      <sheetName val="2019-20 Calculations - history"/>
      <sheetName val="2020-21 Calculations - history"/>
      <sheetName val="2021-22 Calculations - history"/>
      <sheetName val="2022-23 Calculations"/>
      <sheetName val="2023-24 Calculations"/>
      <sheetName val="2024-25 Calculations"/>
      <sheetName val="ANALYSIS_"/>
      <sheetName val="Comparison (new vs old boundary"/>
      <sheetName val="Analysis"/>
      <sheetName val="Councilor Remuneration"/>
      <sheetName val="RSC Levies"/>
      <sheetName val="Schedule 3"/>
    </sheetNames>
    <sheetDataSet>
      <sheetData sheetId="0">
        <row r="6">
          <cell r="AQ6">
            <v>33481379</v>
          </cell>
          <cell r="AR6">
            <v>35885746</v>
          </cell>
          <cell r="AS6">
            <v>39409600</v>
          </cell>
          <cell r="AT6">
            <v>45052100</v>
          </cell>
          <cell r="AV6">
            <v>51326396.324000001</v>
          </cell>
          <cell r="AW6">
            <v>56722357.545116</v>
          </cell>
          <cell r="AX6">
            <v>62647638</v>
          </cell>
          <cell r="AY6">
            <v>68062864.773754999</v>
          </cell>
          <cell r="AZ6">
            <v>71027582.458200008</v>
          </cell>
          <cell r="BA6">
            <v>80023079.952193603</v>
          </cell>
          <cell r="BB6">
            <v>86490997</v>
          </cell>
          <cell r="BC6">
            <v>93555738.130252302</v>
          </cell>
        </row>
      </sheetData>
      <sheetData sheetId="1">
        <row r="269">
          <cell r="K269">
            <v>13369415794.198135</v>
          </cell>
          <cell r="L269">
            <v>10364206282.595663</v>
          </cell>
          <cell r="M269">
            <v>8688131217.0473251</v>
          </cell>
          <cell r="N269">
            <v>8725347868.0594959</v>
          </cell>
          <cell r="O269">
            <v>41147101161.900597</v>
          </cell>
        </row>
      </sheetData>
      <sheetData sheetId="2">
        <row r="269">
          <cell r="K269">
            <v>14761228572.504208</v>
          </cell>
          <cell r="L269">
            <v>11269052262.439138</v>
          </cell>
          <cell r="M269">
            <v>9446647633.0414162</v>
          </cell>
          <cell r="N269">
            <v>9603894745.1812153</v>
          </cell>
          <cell r="O269">
            <v>45080823213.165977</v>
          </cell>
        </row>
      </sheetData>
      <sheetData sheetId="3">
        <row r="269">
          <cell r="K269">
            <v>16362142168.145891</v>
          </cell>
          <cell r="L269">
            <v>12292246063.465649</v>
          </cell>
          <cell r="M269">
            <v>10304372938.906448</v>
          </cell>
          <cell r="N269">
            <v>10612123113.178844</v>
          </cell>
          <cell r="O269">
            <v>49570884283.696869</v>
          </cell>
        </row>
      </sheetData>
      <sheetData sheetId="4">
        <row r="269">
          <cell r="K269">
            <v>18010545838.223743</v>
          </cell>
          <cell r="L269">
            <v>13290324084.255808</v>
          </cell>
          <cell r="M269">
            <v>11141044129.447823</v>
          </cell>
          <cell r="N269">
            <v>11645119422.765564</v>
          </cell>
          <cell r="O269">
            <v>54087033474.692902</v>
          </cell>
        </row>
      </sheetData>
      <sheetData sheetId="5">
        <row r="269">
          <cell r="K269">
            <v>19055277012.907219</v>
          </cell>
          <cell r="L269">
            <v>13616322296.801678</v>
          </cell>
          <cell r="M269">
            <v>11414322677.741264</v>
          </cell>
          <cell r="N269">
            <v>12214863797.992384</v>
          </cell>
          <cell r="O269">
            <v>56300785785.442551</v>
          </cell>
        </row>
      </sheetData>
      <sheetData sheetId="6">
        <row r="269">
          <cell r="K269">
            <v>21997899475.124161</v>
          </cell>
          <cell r="M269">
            <v>12710819481.49913</v>
          </cell>
          <cell r="N269">
            <v>13997462000.57534</v>
          </cell>
          <cell r="O269">
            <v>63869114370.152298</v>
          </cell>
        </row>
      </sheetData>
      <sheetData sheetId="7">
        <row r="269">
          <cell r="K269">
            <v>24184770725.285206</v>
          </cell>
          <cell r="M269">
            <v>13602076592.904589</v>
          </cell>
          <cell r="N269">
            <v>15411072677.816765</v>
          </cell>
          <cell r="O269">
            <v>69424047820.125656</v>
          </cell>
        </row>
      </sheetData>
      <sheetData sheetId="8">
        <row r="269">
          <cell r="K269">
            <v>26486383121.894615</v>
          </cell>
          <cell r="M269">
            <v>14598283888.2523</v>
          </cell>
          <cell r="N269">
            <v>17002070059.949108</v>
          </cell>
          <cell r="O269">
            <v>75501256005.177032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2016-17 Calculations - history"/>
      <sheetName val="2017-18 Calculations"/>
      <sheetName val="2018-19 Calculations"/>
      <sheetName val="2019-20 Calculations"/>
      <sheetName val="Comparison (new vs old boundary"/>
      <sheetName val="Analysis"/>
      <sheetName val="Councilor Remuneration"/>
      <sheetName val="RSC Levies"/>
      <sheetName val="Schedule 3"/>
      <sheetName val="W&amp;S pass-on rounding"/>
      <sheetName val="Schedule Rounding"/>
    </sheetNames>
    <sheetDataSet>
      <sheetData sheetId="0">
        <row r="5">
          <cell r="AE5">
            <v>47119063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end"/>
      <sheetName val="19old"/>
      <sheetName val="2 (2)"/>
      <sheetName val="8(old)"/>
      <sheetName val="11(old)"/>
      <sheetName val="11(old2)"/>
      <sheetName val="12(old)"/>
      <sheetName val="17(old)"/>
      <sheetName val="18(old)"/>
      <sheetName val="23old"/>
      <sheetName val="7(old)"/>
      <sheetName val="9old"/>
    </sheetNames>
    <sheetDataSet>
      <sheetData sheetId="0"/>
      <sheetData sheetId="1"/>
      <sheetData sheetId="2"/>
      <sheetData sheetId="3">
        <row r="11">
          <cell r="C11">
            <v>319608.15849999996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2">
          <cell r="D12">
            <v>18515.051000000003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end"/>
    </sheetNames>
    <sheetDataSet>
      <sheetData sheetId="0"/>
      <sheetData sheetId="1"/>
      <sheetData sheetId="2"/>
      <sheetData sheetId="3">
        <row r="5">
          <cell r="C5">
            <v>418000.31100000005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4">
          <cell r="C4">
            <v>26501.352999999999</v>
          </cell>
          <cell r="D4">
            <v>37320.603000000003</v>
          </cell>
          <cell r="E4">
            <v>44037.012000000002</v>
          </cell>
          <cell r="F4">
            <v>50145.808000000005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end"/>
      <sheetName val="22old"/>
      <sheetName val="23old"/>
      <sheetName val="21.1old"/>
      <sheetName val="23.1old"/>
      <sheetName val="20.1old"/>
      <sheetName val="13.1old"/>
      <sheetName val="7.1 old"/>
      <sheetName val="7old"/>
      <sheetName val="8old"/>
      <sheetName val="11old"/>
      <sheetName val="9old"/>
      <sheetName val="14old"/>
      <sheetName val="15old"/>
      <sheetName val="16old"/>
      <sheetName val="17old"/>
      <sheetName val="18old"/>
      <sheetName val="25old"/>
      <sheetName val="26ol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4">
          <cell r="C4">
            <v>60904.686999999991</v>
          </cell>
          <cell r="D4">
            <v>68251.202920000011</v>
          </cell>
          <cell r="E4">
            <v>76430.369810683012</v>
          </cell>
          <cell r="F4">
            <v>83669.877278160624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End"/>
    </sheetNames>
    <sheetDataSet>
      <sheetData sheetId="0"/>
      <sheetData sheetId="1"/>
      <sheetData sheetId="2">
        <row r="17">
          <cell r="C17">
            <v>1017101.6886860802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4">
          <cell r="C4">
            <v>87569.945000000007</v>
          </cell>
          <cell r="D4">
            <v>98338.074452000001</v>
          </cell>
          <cell r="E4">
            <v>102867.05299999999</v>
          </cell>
          <cell r="F4">
            <v>112578.15699999999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END"/>
    </sheetNames>
    <sheetDataSet>
      <sheetData sheetId="0"/>
      <sheetData sheetId="1"/>
      <sheetData sheetId="2">
        <row r="17">
          <cell r="C17">
            <v>1324756.1050000002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4">
          <cell r="C4">
            <v>118465.07</v>
          </cell>
          <cell r="D4">
            <v>122985.521288</v>
          </cell>
          <cell r="E4">
            <v>137097.974995</v>
          </cell>
          <cell r="F4">
            <v>137585.44999458807</v>
          </cell>
          <cell r="G4">
            <v>150629.56199426641</v>
          </cell>
          <cell r="H4">
            <v>160513.76300000004</v>
          </cell>
          <cell r="I4">
            <v>170147.46500000003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ata"/>
      <sheetName val="Data2"/>
      <sheetName val="Data3"/>
      <sheetName val="Schedule 3"/>
      <sheetName val="Allocations"/>
      <sheetName val="Year 2"/>
      <sheetName val="Year 3"/>
      <sheetName val="2005v9"/>
    </sheetNames>
    <definedNames>
      <definedName name="TotalServices" refersTo="='Allocations'!$R$322"/>
    </definedNames>
    <sheetDataSet>
      <sheetData sheetId="0"/>
      <sheetData sheetId="1"/>
      <sheetData sheetId="2"/>
      <sheetData sheetId="3"/>
      <sheetData sheetId="4">
        <row r="322">
          <cell r="R322">
            <v>44</v>
          </cell>
        </row>
      </sheetData>
      <sheetData sheetId="5">
        <row r="322">
          <cell r="D322">
            <v>2009919130.911593</v>
          </cell>
          <cell r="E322">
            <v>783692108.11141729</v>
          </cell>
          <cell r="F322">
            <v>1478083245.7846651</v>
          </cell>
          <cell r="I322">
            <v>658614880.48331594</v>
          </cell>
          <cell r="J322">
            <v>403063259.3564508</v>
          </cell>
          <cell r="K322">
            <v>442159725.92113513</v>
          </cell>
          <cell r="R322">
            <v>5775532350.568573</v>
          </cell>
          <cell r="X322">
            <v>9343365000.0000019</v>
          </cell>
        </row>
      </sheetData>
      <sheetData sheetId="6">
        <row r="322">
          <cell r="R322">
            <v>5775532350.568573</v>
          </cell>
        </row>
      </sheetData>
      <sheetData sheetId="7">
        <row r="322">
          <cell r="R322">
            <v>5775532350.568573</v>
          </cell>
        </row>
      </sheetData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ata"/>
      <sheetName val="Data2"/>
      <sheetName val="Data3"/>
      <sheetName val="Schedule 3"/>
      <sheetName val="Allocations"/>
      <sheetName val="Year 2"/>
      <sheetName val="Year 3"/>
    </sheetNames>
    <sheetDataSet>
      <sheetData sheetId="0"/>
      <sheetData sheetId="1"/>
      <sheetData sheetId="2"/>
      <sheetData sheetId="3"/>
      <sheetData sheetId="4"/>
      <sheetData sheetId="5">
        <row r="320">
          <cell r="D320">
            <v>2009919130.9115815</v>
          </cell>
          <cell r="E320">
            <v>783692108.11140764</v>
          </cell>
          <cell r="F320">
            <v>1478083245.7846558</v>
          </cell>
          <cell r="I320">
            <v>658614880.48332953</v>
          </cell>
          <cell r="J320">
            <v>403063259.35645914</v>
          </cell>
          <cell r="K320">
            <v>442159725.92114675</v>
          </cell>
          <cell r="P320">
            <v>5916923965.1815767</v>
          </cell>
          <cell r="V320">
            <v>10833939999.999998</v>
          </cell>
        </row>
      </sheetData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ata"/>
      <sheetName val="Data2"/>
      <sheetName val="Data3"/>
      <sheetName val="Allocations"/>
      <sheetName val="Year 2"/>
      <sheetName val="Year 3"/>
      <sheetName val="Schedule 3"/>
      <sheetName val="Councillors"/>
      <sheetName val="RSC Gran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20">
          <cell r="D320">
            <v>2009919130.9115815</v>
          </cell>
          <cell r="E320">
            <v>783692108.11140764</v>
          </cell>
          <cell r="F320">
            <v>1478083245.7846558</v>
          </cell>
          <cell r="I320">
            <v>658614880.48332953</v>
          </cell>
          <cell r="J320">
            <v>403063259.35645914</v>
          </cell>
          <cell r="K320">
            <v>442159725.92114675</v>
          </cell>
          <cell r="P320">
            <v>5916923965.1815767</v>
          </cell>
          <cell r="V320">
            <v>12442802000.300913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Sheet1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</sheetNames>
    <sheetDataSet>
      <sheetData sheetId="0"/>
      <sheetData sheetId="1"/>
      <sheetData sheetId="2"/>
      <sheetData sheetId="3"/>
      <sheetData sheetId="4">
        <row r="320">
          <cell r="D320">
            <v>2009919130.9115815</v>
          </cell>
          <cell r="E320">
            <v>783692108.11140764</v>
          </cell>
          <cell r="F320">
            <v>1478083245.7846558</v>
          </cell>
          <cell r="I320">
            <v>658614880.48332953</v>
          </cell>
          <cell r="J320">
            <v>403063259.35645914</v>
          </cell>
          <cell r="K320">
            <v>442159725.92114675</v>
          </cell>
          <cell r="P320">
            <v>5987619772.4880724</v>
          </cell>
          <cell r="V320">
            <v>15628720999.879446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  <sheetName val="Districts"/>
      <sheetName val="ES Formula Compon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45">
          <cell r="D445">
            <v>4437472079.9435101</v>
          </cell>
          <cell r="E445">
            <v>3623057218.940794</v>
          </cell>
          <cell r="F445">
            <v>3539640877.3288817</v>
          </cell>
          <cell r="G445">
            <v>6549232832.9760904</v>
          </cell>
          <cell r="H445">
            <v>565123685.19688606</v>
          </cell>
          <cell r="I445">
            <v>1568211305.9964893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  <sheetName val="Districts"/>
      <sheetName val="ES Formula Componen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45">
          <cell r="D445">
            <v>5765493332.4775906</v>
          </cell>
          <cell r="E445">
            <v>4718454632.2063837</v>
          </cell>
          <cell r="F445">
            <v>4615608597.8790522</v>
          </cell>
          <cell r="G445">
            <v>8497219228.7381802</v>
          </cell>
          <cell r="H445">
            <v>756932682.25745165</v>
          </cell>
          <cell r="I445">
            <v>2034003073.9095941</v>
          </cell>
        </row>
      </sheetData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  <sheetName val="Districts"/>
      <sheetName val="ES Formula Compon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38">
          <cell r="D438">
            <v>7923937383.7368412</v>
          </cell>
          <cell r="E438">
            <v>6588116561.4060612</v>
          </cell>
          <cell r="F438">
            <v>6456634524.6483212</v>
          </cell>
          <cell r="G438">
            <v>11673318226.884745</v>
          </cell>
          <cell r="H438">
            <v>976390575.99694312</v>
          </cell>
          <cell r="I438">
            <v>2783643841.3342643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  <sheetName val="Districts"/>
      <sheetName val="ES Formula Components"/>
    </sheetNames>
    <sheetDataSet>
      <sheetData sheetId="0"/>
      <sheetData sheetId="1"/>
      <sheetData sheetId="2"/>
      <sheetData sheetId="3">
        <row r="291">
          <cell r="BH291">
            <v>7201123942.9197111</v>
          </cell>
          <cell r="BI291">
            <v>6203673187.9840736</v>
          </cell>
          <cell r="BJ291">
            <v>6115762034.0422554</v>
          </cell>
          <cell r="BK291">
            <v>10537963883.058598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35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E4" sqref="E4"/>
    </sheetView>
  </sheetViews>
  <sheetFormatPr defaultRowHeight="14.5" x14ac:dyDescent="0.35"/>
  <cols>
    <col min="1" max="1" width="9.453125" customWidth="1"/>
    <col min="2" max="2" width="29.36328125" customWidth="1"/>
    <col min="3" max="12" width="10.81640625" customWidth="1"/>
  </cols>
  <sheetData>
    <row r="1" spans="1:12" x14ac:dyDescent="0.35">
      <c r="A1" s="1" t="s">
        <v>146</v>
      </c>
      <c r="B1" s="2"/>
      <c r="C1" s="2"/>
      <c r="D1" s="2"/>
      <c r="E1" s="2"/>
      <c r="F1" s="3"/>
      <c r="G1" s="3"/>
      <c r="H1" s="3"/>
      <c r="I1" s="4"/>
      <c r="J1" s="5"/>
      <c r="K1" s="5"/>
      <c r="L1" s="5"/>
    </row>
    <row r="2" spans="1:12" x14ac:dyDescent="0.35">
      <c r="A2" s="6"/>
      <c r="B2" s="6"/>
      <c r="C2" s="7" t="s">
        <v>45</v>
      </c>
      <c r="D2" s="7" t="s">
        <v>43</v>
      </c>
      <c r="E2" s="7" t="s">
        <v>44</v>
      </c>
      <c r="F2" s="7" t="s">
        <v>0</v>
      </c>
      <c r="G2" s="8" t="s">
        <v>1</v>
      </c>
      <c r="H2" s="8" t="s">
        <v>2</v>
      </c>
      <c r="I2" s="9" t="s">
        <v>3</v>
      </c>
      <c r="J2" s="7" t="s">
        <v>4</v>
      </c>
      <c r="K2" s="7" t="s">
        <v>5</v>
      </c>
      <c r="L2" s="7" t="s">
        <v>6</v>
      </c>
    </row>
    <row r="3" spans="1:12" x14ac:dyDescent="0.35">
      <c r="A3" s="10"/>
      <c r="B3" s="11" t="s">
        <v>80</v>
      </c>
      <c r="C3" s="12" t="s">
        <v>7</v>
      </c>
      <c r="D3" s="12" t="s">
        <v>7</v>
      </c>
      <c r="E3" s="12" t="s">
        <v>7</v>
      </c>
      <c r="F3" s="12" t="s">
        <v>7</v>
      </c>
      <c r="G3" s="12" t="s">
        <v>7</v>
      </c>
      <c r="H3" s="46" t="s">
        <v>7</v>
      </c>
      <c r="I3" s="13" t="s">
        <v>8</v>
      </c>
      <c r="J3" s="14" t="s">
        <v>9</v>
      </c>
      <c r="K3" s="14"/>
      <c r="L3" s="14"/>
    </row>
    <row r="4" spans="1:12" x14ac:dyDescent="0.35">
      <c r="A4" s="15"/>
      <c r="B4" s="16" t="s">
        <v>10</v>
      </c>
      <c r="C4" s="17">
        <v>144657.18540000002</v>
      </c>
      <c r="D4" s="17">
        <v>146422.43460160171</v>
      </c>
      <c r="E4" s="17">
        <v>146921.72856288365</v>
      </c>
      <c r="F4" s="17">
        <v>149256.11899956263</v>
      </c>
      <c r="G4" s="17">
        <v>152472.00540926179</v>
      </c>
      <c r="H4" s="17">
        <v>162199.85702809505</v>
      </c>
      <c r="I4" s="18">
        <v>168764.73532453534</v>
      </c>
      <c r="J4" s="17">
        <v>188799.16753773479</v>
      </c>
      <c r="K4" s="17">
        <v>204506.80798976749</v>
      </c>
      <c r="L4" s="17">
        <v>217894.96897477293</v>
      </c>
    </row>
    <row r="5" spans="1:12" x14ac:dyDescent="0.35">
      <c r="A5" s="57"/>
      <c r="B5" s="58" t="s">
        <v>11</v>
      </c>
      <c r="C5" s="59">
        <v>29864.560000000001</v>
      </c>
      <c r="D5" s="59">
        <v>30640.307000000015</v>
      </c>
      <c r="E5" s="59">
        <v>30742.350999999999</v>
      </c>
      <c r="F5" s="59">
        <v>28993.600000000002</v>
      </c>
      <c r="G5" s="59">
        <v>28830.553</v>
      </c>
      <c r="H5" s="59">
        <v>23740.255000000001</v>
      </c>
      <c r="I5" s="60">
        <v>28428.43954402495</v>
      </c>
      <c r="J5" s="59">
        <v>28820.827999999998</v>
      </c>
      <c r="K5" s="59">
        <v>30679.572995000002</v>
      </c>
      <c r="L5" s="59">
        <v>31560.664804775002</v>
      </c>
    </row>
    <row r="6" spans="1:12" x14ac:dyDescent="0.35">
      <c r="A6" s="19"/>
      <c r="B6" s="20" t="s">
        <v>12</v>
      </c>
      <c r="C6" s="21">
        <v>29436.847399999995</v>
      </c>
      <c r="D6" s="21">
        <v>29266.11860160168</v>
      </c>
      <c r="E6" s="21">
        <v>26517.050562883665</v>
      </c>
      <c r="F6" s="21">
        <v>25326.820999562628</v>
      </c>
      <c r="G6" s="21">
        <v>25312.241409261795</v>
      </c>
      <c r="H6" s="21">
        <v>25912.52302809506</v>
      </c>
      <c r="I6" s="22">
        <v>30639.708192200833</v>
      </c>
      <c r="J6" s="21">
        <v>35426.92353773478</v>
      </c>
      <c r="K6" s="21">
        <v>39943.64199476748</v>
      </c>
      <c r="L6" s="21">
        <v>43031.52516999792</v>
      </c>
    </row>
    <row r="7" spans="1:12" x14ac:dyDescent="0.35">
      <c r="A7" s="19"/>
      <c r="B7" s="20" t="s">
        <v>13</v>
      </c>
      <c r="C7" s="21">
        <v>5815.6559999999999</v>
      </c>
      <c r="D7" s="21">
        <v>4798.8460000000005</v>
      </c>
      <c r="E7" s="21">
        <v>4440.183</v>
      </c>
      <c r="F7" s="21">
        <v>5508.183</v>
      </c>
      <c r="G7" s="21">
        <v>4389.5229999999992</v>
      </c>
      <c r="H7" s="21">
        <v>3973.1469999999999</v>
      </c>
      <c r="I7" s="22">
        <v>4440.4237531534136</v>
      </c>
      <c r="J7" s="21">
        <v>4648.9669999999996</v>
      </c>
      <c r="K7" s="21">
        <v>4843.5280000000002</v>
      </c>
      <c r="L7" s="21">
        <v>5060.0600000000004</v>
      </c>
    </row>
    <row r="8" spans="1:12" x14ac:dyDescent="0.35">
      <c r="A8" s="19"/>
      <c r="B8" s="20" t="s">
        <v>25</v>
      </c>
      <c r="C8" s="21">
        <v>79540.122000000003</v>
      </c>
      <c r="D8" s="21">
        <v>81717.163</v>
      </c>
      <c r="E8" s="21">
        <v>85222.144</v>
      </c>
      <c r="F8" s="21">
        <v>89427.514999999999</v>
      </c>
      <c r="G8" s="21">
        <v>93939.687999999995</v>
      </c>
      <c r="H8" s="21">
        <v>108573.932</v>
      </c>
      <c r="I8" s="22">
        <v>105256.16383515614</v>
      </c>
      <c r="J8" s="21">
        <v>119902.44900000001</v>
      </c>
      <c r="K8" s="21">
        <v>129040.065</v>
      </c>
      <c r="L8" s="21">
        <v>138242.71899999998</v>
      </c>
    </row>
    <row r="9" spans="1:12" x14ac:dyDescent="0.35">
      <c r="A9" s="19"/>
      <c r="B9" s="23" t="s">
        <v>14</v>
      </c>
      <c r="C9" s="17">
        <v>15061.534648646257</v>
      </c>
      <c r="D9" s="17">
        <v>16043.791793769366</v>
      </c>
      <c r="E9" s="17">
        <v>18848.565703849996</v>
      </c>
      <c r="F9" s="17">
        <v>19552.406080369452</v>
      </c>
      <c r="G9" s="17">
        <v>21589.710164199998</v>
      </c>
      <c r="H9" s="17">
        <v>19134.072387985649</v>
      </c>
      <c r="I9" s="18">
        <v>21637.329973828142</v>
      </c>
      <c r="J9" s="17">
        <v>24828.874953631625</v>
      </c>
      <c r="K9" s="17">
        <v>25259.681886510487</v>
      </c>
      <c r="L9" s="17">
        <v>25897.7416551145</v>
      </c>
    </row>
    <row r="10" spans="1:12" x14ac:dyDescent="0.35">
      <c r="A10" s="61"/>
      <c r="B10" s="62" t="s">
        <v>15</v>
      </c>
      <c r="C10" s="63">
        <v>149763.465</v>
      </c>
      <c r="D10" s="63">
        <v>161602.02965999997</v>
      </c>
      <c r="E10" s="63">
        <v>176147.46675088</v>
      </c>
      <c r="F10" s="63">
        <v>190349.91500000001</v>
      </c>
      <c r="G10" s="63">
        <v>205831.639</v>
      </c>
      <c r="H10" s="63">
        <v>222669.81299999999</v>
      </c>
      <c r="I10" s="64">
        <v>226166.25827666742</v>
      </c>
      <c r="J10" s="63">
        <v>234039.43926631918</v>
      </c>
      <c r="K10" s="63">
        <v>226075.30124992886</v>
      </c>
      <c r="L10" s="63">
        <v>235185.51293542021</v>
      </c>
    </row>
    <row r="11" spans="1:12" x14ac:dyDescent="0.35">
      <c r="A11" s="19"/>
      <c r="B11" s="24" t="s">
        <v>16</v>
      </c>
      <c r="C11" s="17">
        <v>184230.75599999999</v>
      </c>
      <c r="D11" s="17">
        <v>197616.34999999998</v>
      </c>
      <c r="E11" s="17">
        <v>211836.603</v>
      </c>
      <c r="F11" s="17">
        <v>223933.807</v>
      </c>
      <c r="G11" s="17">
        <v>239265.152</v>
      </c>
      <c r="H11" s="17">
        <v>247643.777</v>
      </c>
      <c r="I11" s="18">
        <v>260675.62631474226</v>
      </c>
      <c r="J11" s="17">
        <v>266656.24980368145</v>
      </c>
      <c r="K11" s="17">
        <v>265870.06699999998</v>
      </c>
      <c r="L11" s="17">
        <v>274990.8375969</v>
      </c>
    </row>
    <row r="12" spans="1:12" x14ac:dyDescent="0.35">
      <c r="A12" s="25"/>
      <c r="B12" s="26" t="s">
        <v>17</v>
      </c>
      <c r="C12" s="17">
        <v>17245.698</v>
      </c>
      <c r="D12" s="17">
        <v>21062.480319240891</v>
      </c>
      <c r="E12" s="17">
        <v>23615.499157999999</v>
      </c>
      <c r="F12" s="17">
        <v>35707.829817999998</v>
      </c>
      <c r="G12" s="17">
        <v>44410.147555275318</v>
      </c>
      <c r="H12" s="17">
        <v>44305.079033000002</v>
      </c>
      <c r="I12" s="18">
        <v>60909.186367933718</v>
      </c>
      <c r="J12" s="17">
        <v>59854.351064871589</v>
      </c>
      <c r="K12" s="17">
        <v>63421.829228425813</v>
      </c>
      <c r="L12" s="17">
        <v>68036.496351640526</v>
      </c>
    </row>
    <row r="13" spans="1:12" x14ac:dyDescent="0.35">
      <c r="A13" s="25"/>
      <c r="B13" s="27" t="s">
        <v>18</v>
      </c>
      <c r="C13" s="17">
        <v>150151.46492539934</v>
      </c>
      <c r="D13" s="17">
        <v>162341.49766322071</v>
      </c>
      <c r="E13" s="17">
        <v>175424.3334347443</v>
      </c>
      <c r="F13" s="17">
        <v>186916.54462330037</v>
      </c>
      <c r="G13" s="17">
        <v>217004.2042210841</v>
      </c>
      <c r="H13" s="17">
        <v>247749.79570684675</v>
      </c>
      <c r="I13" s="18">
        <v>255042.08866064899</v>
      </c>
      <c r="J13" s="17">
        <v>276081.64640821872</v>
      </c>
      <c r="K13" s="17">
        <v>240738.57385269806</v>
      </c>
      <c r="L13" s="17">
        <v>253084.36414726119</v>
      </c>
    </row>
    <row r="14" spans="1:12" x14ac:dyDescent="0.35">
      <c r="A14" s="65"/>
      <c r="B14" s="66" t="s">
        <v>19</v>
      </c>
      <c r="C14" s="67">
        <v>128333.37600000002</v>
      </c>
      <c r="D14" s="67">
        <v>138915.63800000001</v>
      </c>
      <c r="E14" s="67">
        <v>150336.77100000001</v>
      </c>
      <c r="F14" s="67">
        <v>162709.84000000003</v>
      </c>
      <c r="G14" s="67">
        <v>190289.375</v>
      </c>
      <c r="H14" s="67">
        <v>218945.75988668</v>
      </c>
      <c r="I14" s="68">
        <v>224542.226</v>
      </c>
      <c r="J14" s="67">
        <v>248294.592</v>
      </c>
      <c r="K14" s="67">
        <v>212270.31400000001</v>
      </c>
      <c r="L14" s="67">
        <v>223809.402</v>
      </c>
    </row>
    <row r="15" spans="1:12" x14ac:dyDescent="0.35">
      <c r="A15" s="19"/>
      <c r="B15" s="27" t="s">
        <v>20</v>
      </c>
      <c r="C15" s="17">
        <v>40278.548000000003</v>
      </c>
      <c r="D15" s="17">
        <v>44988.404000000002</v>
      </c>
      <c r="E15" s="17">
        <v>47196.391925487995</v>
      </c>
      <c r="F15" s="17">
        <v>55029.576000000001</v>
      </c>
      <c r="G15" s="17">
        <v>51943.368000000002</v>
      </c>
      <c r="H15" s="17">
        <v>105686.85598399999</v>
      </c>
      <c r="I15" s="18">
        <v>82283.407194701795</v>
      </c>
      <c r="J15" s="17">
        <v>71148.309010886413</v>
      </c>
      <c r="K15" s="17">
        <v>59709.103311828898</v>
      </c>
      <c r="L15" s="17">
        <v>51610.477093834998</v>
      </c>
    </row>
    <row r="16" spans="1:12" x14ac:dyDescent="0.35">
      <c r="A16" s="15"/>
      <c r="B16" s="28" t="s">
        <v>21</v>
      </c>
      <c r="C16" s="29">
        <v>701388.65197404567</v>
      </c>
      <c r="D16" s="29">
        <v>750076.98803783278</v>
      </c>
      <c r="E16" s="29">
        <v>799990.58853584598</v>
      </c>
      <c r="F16" s="29">
        <v>860746.19752123265</v>
      </c>
      <c r="G16" s="30">
        <v>932516.22634982131</v>
      </c>
      <c r="H16" s="30">
        <v>1049389.2501399275</v>
      </c>
      <c r="I16" s="31">
        <v>1075478.6321130577</v>
      </c>
      <c r="J16" s="30">
        <v>1121408.0380453437</v>
      </c>
      <c r="K16" s="30">
        <v>1085581.3645191595</v>
      </c>
      <c r="L16" s="30">
        <v>1126700.3987549446</v>
      </c>
    </row>
    <row r="17" spans="1:12" x14ac:dyDescent="0.35">
      <c r="A17" s="19"/>
      <c r="B17" s="32" t="s">
        <v>22</v>
      </c>
      <c r="C17" s="33">
        <v>0.56676426953198589</v>
      </c>
      <c r="D17" s="33">
        <v>0.57854684933734135</v>
      </c>
      <c r="E17" s="33">
        <v>0.58042224959509181</v>
      </c>
      <c r="F17" s="33">
        <v>0.58928110579211712</v>
      </c>
      <c r="G17" s="33">
        <v>0.5819783588394819</v>
      </c>
      <c r="H17" s="33">
        <v>0.60606639593015854</v>
      </c>
      <c r="I17" s="34">
        <v>0.59460016082182388</v>
      </c>
      <c r="J17" s="33">
        <v>0.60438239128045879</v>
      </c>
      <c r="K17" s="33">
        <v>0.58940588270007754</v>
      </c>
      <c r="L17" s="33">
        <v>0.58735216471561802</v>
      </c>
    </row>
    <row r="18" spans="1:12" x14ac:dyDescent="0.35">
      <c r="A18" s="35"/>
      <c r="B18" s="36" t="s">
        <v>23</v>
      </c>
      <c r="C18" s="37">
        <v>0.51333875763313475</v>
      </c>
      <c r="D18" s="37">
        <v>0.51981066747865234</v>
      </c>
      <c r="E18" s="37">
        <v>0.51915910807024224</v>
      </c>
      <c r="F18" s="37">
        <v>0.52403978074773272</v>
      </c>
      <c r="G18" s="37">
        <v>0.51603183815826859</v>
      </c>
      <c r="H18" s="37">
        <v>0.53429282719533955</v>
      </c>
      <c r="I18" s="38">
        <v>0.51779169711753992</v>
      </c>
      <c r="J18" s="37">
        <v>0.51982801673491041</v>
      </c>
      <c r="K18" s="37">
        <v>0.49870462658050779</v>
      </c>
      <c r="L18" s="37">
        <v>0.49378017294093446</v>
      </c>
    </row>
    <row r="19" spans="1:12" x14ac:dyDescent="0.35">
      <c r="A19" s="39" t="s">
        <v>24</v>
      </c>
      <c r="B19" s="40"/>
      <c r="C19" s="40"/>
      <c r="D19" s="40"/>
      <c r="E19" s="40"/>
      <c r="F19" s="41"/>
      <c r="G19" s="41"/>
      <c r="H19" s="41"/>
      <c r="I19" s="41"/>
      <c r="J19" s="41"/>
      <c r="K19" s="41"/>
      <c r="L19" s="41"/>
    </row>
    <row r="20" spans="1:12" x14ac:dyDescent="0.35">
      <c r="A20" s="39" t="s">
        <v>145</v>
      </c>
      <c r="B20" s="42"/>
      <c r="C20" s="42"/>
      <c r="D20" s="42"/>
      <c r="E20" s="42"/>
      <c r="F20" s="43"/>
      <c r="G20" s="43"/>
      <c r="H20" s="43"/>
      <c r="I20" s="43"/>
      <c r="J20" s="43"/>
      <c r="K20" s="43"/>
      <c r="L20" s="43"/>
    </row>
    <row r="24" spans="1:12" x14ac:dyDescent="0.35">
      <c r="A24" s="47"/>
      <c r="B24" s="48" t="s">
        <v>50</v>
      </c>
      <c r="C24" s="49">
        <v>1366327.0920901387</v>
      </c>
      <c r="D24" s="49">
        <v>1442981.137105342</v>
      </c>
      <c r="E24" s="49">
        <v>1540935.2857344211</v>
      </c>
      <c r="F24" s="49">
        <v>1642520.7191199609</v>
      </c>
      <c r="G24" s="49">
        <v>1807090.4882109533</v>
      </c>
      <c r="H24" s="49">
        <v>1964071.3794502551</v>
      </c>
      <c r="I24" s="50">
        <v>2077048.8173141207</v>
      </c>
      <c r="J24" s="49">
        <v>2157267.4075726336</v>
      </c>
      <c r="K24" s="49">
        <v>2176802.2726452686</v>
      </c>
      <c r="L24" s="49">
        <v>2281785.4188927086</v>
      </c>
    </row>
    <row r="25" spans="1:12" x14ac:dyDescent="0.35">
      <c r="A25" s="25"/>
      <c r="B25" s="26" t="s">
        <v>51</v>
      </c>
      <c r="C25" s="17">
        <v>128795.56500000002</v>
      </c>
      <c r="D25" s="17">
        <v>146496.69699999999</v>
      </c>
      <c r="E25" s="17">
        <v>162644.58600000001</v>
      </c>
      <c r="F25" s="17">
        <v>181849.08200000002</v>
      </c>
      <c r="G25" s="17">
        <v>204769.35</v>
      </c>
      <c r="H25" s="17">
        <v>232595.658</v>
      </c>
      <c r="I25" s="18">
        <v>268306.23200000002</v>
      </c>
      <c r="J25" s="17">
        <v>301806.272</v>
      </c>
      <c r="K25" s="17">
        <v>334979.18199999997</v>
      </c>
      <c r="L25" s="17">
        <v>363514.80299999996</v>
      </c>
    </row>
    <row r="26" spans="1:12" x14ac:dyDescent="0.35">
      <c r="A26" s="51"/>
      <c r="B26" s="52" t="s">
        <v>52</v>
      </c>
      <c r="C26" s="53">
        <v>1237531.5270901388</v>
      </c>
      <c r="D26" s="53">
        <v>1296484.4401053418</v>
      </c>
      <c r="E26" s="53">
        <v>1378290.6997344212</v>
      </c>
      <c r="F26" s="53">
        <v>1460671.637119961</v>
      </c>
      <c r="G26" s="53">
        <v>1602321.1382109532</v>
      </c>
      <c r="H26" s="53">
        <v>1731475.7214502553</v>
      </c>
      <c r="I26" s="54">
        <v>1808742.5853141209</v>
      </c>
      <c r="J26" s="53">
        <v>1855461.1355726335</v>
      </c>
      <c r="K26" s="53">
        <v>1841823.0906452686</v>
      </c>
      <c r="L26" s="53">
        <v>1918270.6158927085</v>
      </c>
    </row>
    <row r="29" spans="1:12" x14ac:dyDescent="0.35">
      <c r="A29" s="318" t="s">
        <v>55</v>
      </c>
      <c r="B29" s="302" t="s">
        <v>53</v>
      </c>
      <c r="C29" s="298">
        <f>C14/C16</f>
        <v>0.18297041966505739</v>
      </c>
      <c r="D29" s="298">
        <f t="shared" ref="D29:L29" si="0">D14/D16</f>
        <v>0.18520183956502517</v>
      </c>
      <c r="E29" s="298">
        <f t="shared" si="0"/>
        <v>0.18792317454027613</v>
      </c>
      <c r="F29" s="298">
        <f t="shared" si="0"/>
        <v>0.18903346941127364</v>
      </c>
      <c r="G29" s="298">
        <f t="shared" si="0"/>
        <v>0.2040601220901602</v>
      </c>
      <c r="H29" s="298">
        <f t="shared" si="0"/>
        <v>0.20864113088397404</v>
      </c>
      <c r="I29" s="299">
        <f t="shared" si="0"/>
        <v>0.20878353069537825</v>
      </c>
      <c r="J29" s="298">
        <f t="shared" si="0"/>
        <v>0.22141324440012647</v>
      </c>
      <c r="K29" s="298">
        <f t="shared" si="0"/>
        <v>0.19553607029172029</v>
      </c>
      <c r="L29" s="298">
        <f t="shared" si="0"/>
        <v>0.1986414509547699</v>
      </c>
    </row>
    <row r="30" spans="1:12" ht="22.5" customHeight="1" x14ac:dyDescent="0.35">
      <c r="A30" s="319"/>
      <c r="B30" s="304" t="s">
        <v>54</v>
      </c>
      <c r="C30" s="305">
        <f>C14/C26</f>
        <v>0.10370109624742718</v>
      </c>
      <c r="D30" s="305">
        <f t="shared" ref="D30:L30" si="1">D14/D26</f>
        <v>0.10714794077182511</v>
      </c>
      <c r="E30" s="305">
        <f t="shared" si="1"/>
        <v>0.10907479171771815</v>
      </c>
      <c r="F30" s="305">
        <f t="shared" si="1"/>
        <v>0.11139385188639568</v>
      </c>
      <c r="G30" s="305">
        <f t="shared" si="1"/>
        <v>0.11875857495861575</v>
      </c>
      <c r="H30" s="305">
        <f t="shared" si="1"/>
        <v>0.12645037823764266</v>
      </c>
      <c r="I30" s="306">
        <f t="shared" si="1"/>
        <v>0.1241427209284201</v>
      </c>
      <c r="J30" s="305">
        <f t="shared" si="1"/>
        <v>0.13381826611171307</v>
      </c>
      <c r="K30" s="305">
        <f t="shared" si="1"/>
        <v>0.11525011010999582</v>
      </c>
      <c r="L30" s="305">
        <f t="shared" si="1"/>
        <v>0.1166724862205354</v>
      </c>
    </row>
    <row r="31" spans="1:12" ht="24" x14ac:dyDescent="0.35">
      <c r="A31" s="320" t="s">
        <v>60</v>
      </c>
      <c r="B31" s="310" t="s">
        <v>61</v>
      </c>
      <c r="C31" s="311">
        <f>C5/C16</f>
        <v>4.2579189035845871E-2</v>
      </c>
      <c r="D31" s="311">
        <f t="shared" ref="D31:L31" si="2">D5/D16</f>
        <v>4.0849549431123948E-2</v>
      </c>
      <c r="E31" s="311">
        <f t="shared" si="2"/>
        <v>3.8428390834278542E-2</v>
      </c>
      <c r="F31" s="311">
        <f t="shared" si="2"/>
        <v>3.3684261497170069E-2</v>
      </c>
      <c r="G31" s="311">
        <f t="shared" si="2"/>
        <v>3.0916945126898621E-2</v>
      </c>
      <c r="H31" s="311">
        <f t="shared" si="2"/>
        <v>2.2622925665413889E-2</v>
      </c>
      <c r="I31" s="312">
        <f t="shared" si="2"/>
        <v>2.6433290904320322E-2</v>
      </c>
      <c r="J31" s="311">
        <f t="shared" si="2"/>
        <v>2.5700571979344632E-2</v>
      </c>
      <c r="K31" s="311">
        <f t="shared" si="2"/>
        <v>2.8260961359251976E-2</v>
      </c>
      <c r="L31" s="311">
        <f t="shared" si="2"/>
        <v>2.8011585723809965E-2</v>
      </c>
    </row>
    <row r="32" spans="1:12" ht="24" x14ac:dyDescent="0.35">
      <c r="A32" s="320"/>
      <c r="B32" s="310" t="s">
        <v>62</v>
      </c>
      <c r="C32" s="311">
        <f>C5/C26</f>
        <v>2.4132362971165534E-2</v>
      </c>
      <c r="D32" s="311">
        <f t="shared" ref="D32:L32" si="3">D5/D26</f>
        <v>2.3633378120226752E-2</v>
      </c>
      <c r="E32" s="311">
        <f t="shared" si="3"/>
        <v>2.2304693056351358E-2</v>
      </c>
      <c r="F32" s="311">
        <f t="shared" si="3"/>
        <v>1.9849498862843214E-2</v>
      </c>
      <c r="G32" s="311">
        <f t="shared" si="3"/>
        <v>1.7992992985282778E-2</v>
      </c>
      <c r="H32" s="311">
        <f t="shared" si="3"/>
        <v>1.3710995023433281E-2</v>
      </c>
      <c r="I32" s="312">
        <f t="shared" si="3"/>
        <v>1.5717239022758917E-2</v>
      </c>
      <c r="J32" s="311">
        <f t="shared" si="3"/>
        <v>1.5532973150151862E-2</v>
      </c>
      <c r="K32" s="311">
        <f t="shared" si="3"/>
        <v>1.6657176875902697E-2</v>
      </c>
      <c r="L32" s="311">
        <f t="shared" si="3"/>
        <v>1.6452665511996891E-2</v>
      </c>
    </row>
    <row r="33" spans="1:13" x14ac:dyDescent="0.35">
      <c r="A33" s="321" t="s">
        <v>63</v>
      </c>
      <c r="B33" s="307" t="s">
        <v>64</v>
      </c>
      <c r="C33" s="308">
        <f>C10/C16</f>
        <v>0.21352422024293297</v>
      </c>
      <c r="D33" s="308">
        <f t="shared" ref="D33:L33" si="4">D10/D16</f>
        <v>0.21544725706456283</v>
      </c>
      <c r="E33" s="308">
        <f t="shared" si="4"/>
        <v>0.22018692379027555</v>
      </c>
      <c r="F33" s="308">
        <f t="shared" si="4"/>
        <v>0.22114522904448208</v>
      </c>
      <c r="G33" s="308">
        <f t="shared" si="4"/>
        <v>0.22072713930747725</v>
      </c>
      <c r="H33" s="308">
        <f t="shared" si="4"/>
        <v>0.21218991234216358</v>
      </c>
      <c r="I33" s="309">
        <f t="shared" si="4"/>
        <v>0.21029358605879964</v>
      </c>
      <c r="J33" s="308">
        <f t="shared" si="4"/>
        <v>0.20870141048235993</v>
      </c>
      <c r="K33" s="308">
        <f t="shared" si="4"/>
        <v>0.2082527469970574</v>
      </c>
      <c r="L33" s="308">
        <f t="shared" si="4"/>
        <v>0.20873828854175516</v>
      </c>
    </row>
    <row r="34" spans="1:13" x14ac:dyDescent="0.35">
      <c r="A34" s="322"/>
      <c r="B34" s="303" t="s">
        <v>65</v>
      </c>
      <c r="C34" s="300">
        <f>C10/C26</f>
        <v>0.12101789871337282</v>
      </c>
      <c r="D34" s="300">
        <f t="shared" ref="D34:L34" si="5">D10/D26</f>
        <v>0.12464633177307512</v>
      </c>
      <c r="E34" s="300">
        <f t="shared" si="5"/>
        <v>0.12780138963777476</v>
      </c>
      <c r="F34" s="300">
        <f t="shared" si="5"/>
        <v>0.13031670511198343</v>
      </c>
      <c r="G34" s="300">
        <f t="shared" si="5"/>
        <v>0.12845841828549931</v>
      </c>
      <c r="H34" s="300">
        <f t="shared" si="5"/>
        <v>0.12860117542595137</v>
      </c>
      <c r="I34" s="301">
        <f t="shared" si="5"/>
        <v>0.1250406000903603</v>
      </c>
      <c r="J34" s="300">
        <f t="shared" si="5"/>
        <v>0.1261354575309333</v>
      </c>
      <c r="K34" s="300">
        <f t="shared" si="5"/>
        <v>0.12274539416851654</v>
      </c>
      <c r="L34" s="300">
        <f t="shared" si="5"/>
        <v>0.12260288563403322</v>
      </c>
      <c r="M34" s="56"/>
    </row>
    <row r="35" spans="1:13" x14ac:dyDescent="0.35">
      <c r="A35" s="87"/>
      <c r="B35" s="55"/>
    </row>
  </sheetData>
  <mergeCells count="3">
    <mergeCell ref="A29:A30"/>
    <mergeCell ref="A31:A32"/>
    <mergeCell ref="A33:A34"/>
  </mergeCells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S23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G10" sqref="G10"/>
    </sheetView>
  </sheetViews>
  <sheetFormatPr defaultRowHeight="14.5" x14ac:dyDescent="0.35"/>
  <cols>
    <col min="1" max="1" width="9.08984375" style="69"/>
    <col min="2" max="2" width="28" style="69" customWidth="1"/>
    <col min="3" max="20" width="10.81640625" style="69" customWidth="1"/>
    <col min="21" max="250" width="9.08984375" style="69"/>
    <col min="251" max="251" width="0.90625" style="69" customWidth="1"/>
    <col min="252" max="252" width="17" style="69" customWidth="1"/>
    <col min="253" max="254" width="7.08984375" style="69" customWidth="1"/>
    <col min="255" max="255" width="7.54296875" style="69" customWidth="1"/>
    <col min="256" max="256" width="8.453125" style="69" customWidth="1"/>
    <col min="257" max="259" width="7.54296875" style="69" customWidth="1"/>
    <col min="260" max="260" width="8.453125" style="69" customWidth="1"/>
    <col min="261" max="506" width="9.08984375" style="69"/>
    <col min="507" max="507" width="0.90625" style="69" customWidth="1"/>
    <col min="508" max="508" width="17" style="69" customWidth="1"/>
    <col min="509" max="510" width="7.08984375" style="69" customWidth="1"/>
    <col min="511" max="511" width="7.54296875" style="69" customWidth="1"/>
    <col min="512" max="512" width="8.453125" style="69" customWidth="1"/>
    <col min="513" max="515" width="7.54296875" style="69" customWidth="1"/>
    <col min="516" max="516" width="8.453125" style="69" customWidth="1"/>
    <col min="517" max="762" width="9.08984375" style="69"/>
    <col min="763" max="763" width="0.90625" style="69" customWidth="1"/>
    <col min="764" max="764" width="17" style="69" customWidth="1"/>
    <col min="765" max="766" width="7.08984375" style="69" customWidth="1"/>
    <col min="767" max="767" width="7.54296875" style="69" customWidth="1"/>
    <col min="768" max="768" width="8.453125" style="69" customWidth="1"/>
    <col min="769" max="771" width="7.54296875" style="69" customWidth="1"/>
    <col min="772" max="772" width="8.453125" style="69" customWidth="1"/>
    <col min="773" max="1018" width="9.08984375" style="69"/>
    <col min="1019" max="1019" width="0.90625" style="69" customWidth="1"/>
    <col min="1020" max="1020" width="17" style="69" customWidth="1"/>
    <col min="1021" max="1022" width="7.08984375" style="69" customWidth="1"/>
    <col min="1023" max="1023" width="7.54296875" style="69" customWidth="1"/>
    <col min="1024" max="1024" width="8.453125" style="69" customWidth="1"/>
    <col min="1025" max="1027" width="7.54296875" style="69" customWidth="1"/>
    <col min="1028" max="1028" width="8.453125" style="69" customWidth="1"/>
    <col min="1029" max="1274" width="9.08984375" style="69"/>
    <col min="1275" max="1275" width="0.90625" style="69" customWidth="1"/>
    <col min="1276" max="1276" width="17" style="69" customWidth="1"/>
    <col min="1277" max="1278" width="7.08984375" style="69" customWidth="1"/>
    <col min="1279" max="1279" width="7.54296875" style="69" customWidth="1"/>
    <col min="1280" max="1280" width="8.453125" style="69" customWidth="1"/>
    <col min="1281" max="1283" width="7.54296875" style="69" customWidth="1"/>
    <col min="1284" max="1284" width="8.453125" style="69" customWidth="1"/>
    <col min="1285" max="1530" width="9.08984375" style="69"/>
    <col min="1531" max="1531" width="0.90625" style="69" customWidth="1"/>
    <col min="1532" max="1532" width="17" style="69" customWidth="1"/>
    <col min="1533" max="1534" width="7.08984375" style="69" customWidth="1"/>
    <col min="1535" max="1535" width="7.54296875" style="69" customWidth="1"/>
    <col min="1536" max="1536" width="8.453125" style="69" customWidth="1"/>
    <col min="1537" max="1539" width="7.54296875" style="69" customWidth="1"/>
    <col min="1540" max="1540" width="8.453125" style="69" customWidth="1"/>
    <col min="1541" max="1786" width="9.08984375" style="69"/>
    <col min="1787" max="1787" width="0.90625" style="69" customWidth="1"/>
    <col min="1788" max="1788" width="17" style="69" customWidth="1"/>
    <col min="1789" max="1790" width="7.08984375" style="69" customWidth="1"/>
    <col min="1791" max="1791" width="7.54296875" style="69" customWidth="1"/>
    <col min="1792" max="1792" width="8.453125" style="69" customWidth="1"/>
    <col min="1793" max="1795" width="7.54296875" style="69" customWidth="1"/>
    <col min="1796" max="1796" width="8.453125" style="69" customWidth="1"/>
    <col min="1797" max="2042" width="9.08984375" style="69"/>
    <col min="2043" max="2043" width="0.90625" style="69" customWidth="1"/>
    <col min="2044" max="2044" width="17" style="69" customWidth="1"/>
    <col min="2045" max="2046" width="7.08984375" style="69" customWidth="1"/>
    <col min="2047" max="2047" width="7.54296875" style="69" customWidth="1"/>
    <col min="2048" max="2048" width="8.453125" style="69" customWidth="1"/>
    <col min="2049" max="2051" width="7.54296875" style="69" customWidth="1"/>
    <col min="2052" max="2052" width="8.453125" style="69" customWidth="1"/>
    <col min="2053" max="2298" width="9.08984375" style="69"/>
    <col min="2299" max="2299" width="0.90625" style="69" customWidth="1"/>
    <col min="2300" max="2300" width="17" style="69" customWidth="1"/>
    <col min="2301" max="2302" width="7.08984375" style="69" customWidth="1"/>
    <col min="2303" max="2303" width="7.54296875" style="69" customWidth="1"/>
    <col min="2304" max="2304" width="8.453125" style="69" customWidth="1"/>
    <col min="2305" max="2307" width="7.54296875" style="69" customWidth="1"/>
    <col min="2308" max="2308" width="8.453125" style="69" customWidth="1"/>
    <col min="2309" max="2554" width="9.08984375" style="69"/>
    <col min="2555" max="2555" width="0.90625" style="69" customWidth="1"/>
    <col min="2556" max="2556" width="17" style="69" customWidth="1"/>
    <col min="2557" max="2558" width="7.08984375" style="69" customWidth="1"/>
    <col min="2559" max="2559" width="7.54296875" style="69" customWidth="1"/>
    <col min="2560" max="2560" width="8.453125" style="69" customWidth="1"/>
    <col min="2561" max="2563" width="7.54296875" style="69" customWidth="1"/>
    <col min="2564" max="2564" width="8.453125" style="69" customWidth="1"/>
    <col min="2565" max="2810" width="9.08984375" style="69"/>
    <col min="2811" max="2811" width="0.90625" style="69" customWidth="1"/>
    <col min="2812" max="2812" width="17" style="69" customWidth="1"/>
    <col min="2813" max="2814" width="7.08984375" style="69" customWidth="1"/>
    <col min="2815" max="2815" width="7.54296875" style="69" customWidth="1"/>
    <col min="2816" max="2816" width="8.453125" style="69" customWidth="1"/>
    <col min="2817" max="2819" width="7.54296875" style="69" customWidth="1"/>
    <col min="2820" max="2820" width="8.453125" style="69" customWidth="1"/>
    <col min="2821" max="3066" width="9.08984375" style="69"/>
    <col min="3067" max="3067" width="0.90625" style="69" customWidth="1"/>
    <col min="3068" max="3068" width="17" style="69" customWidth="1"/>
    <col min="3069" max="3070" width="7.08984375" style="69" customWidth="1"/>
    <col min="3071" max="3071" width="7.54296875" style="69" customWidth="1"/>
    <col min="3072" max="3072" width="8.453125" style="69" customWidth="1"/>
    <col min="3073" max="3075" width="7.54296875" style="69" customWidth="1"/>
    <col min="3076" max="3076" width="8.453125" style="69" customWidth="1"/>
    <col min="3077" max="3322" width="9.08984375" style="69"/>
    <col min="3323" max="3323" width="0.90625" style="69" customWidth="1"/>
    <col min="3324" max="3324" width="17" style="69" customWidth="1"/>
    <col min="3325" max="3326" width="7.08984375" style="69" customWidth="1"/>
    <col min="3327" max="3327" width="7.54296875" style="69" customWidth="1"/>
    <col min="3328" max="3328" width="8.453125" style="69" customWidth="1"/>
    <col min="3329" max="3331" width="7.54296875" style="69" customWidth="1"/>
    <col min="3332" max="3332" width="8.453125" style="69" customWidth="1"/>
    <col min="3333" max="3578" width="9.08984375" style="69"/>
    <col min="3579" max="3579" width="0.90625" style="69" customWidth="1"/>
    <col min="3580" max="3580" width="17" style="69" customWidth="1"/>
    <col min="3581" max="3582" width="7.08984375" style="69" customWidth="1"/>
    <col min="3583" max="3583" width="7.54296875" style="69" customWidth="1"/>
    <col min="3584" max="3584" width="8.453125" style="69" customWidth="1"/>
    <col min="3585" max="3587" width="7.54296875" style="69" customWidth="1"/>
    <col min="3588" max="3588" width="8.453125" style="69" customWidth="1"/>
    <col min="3589" max="3834" width="9.08984375" style="69"/>
    <col min="3835" max="3835" width="0.90625" style="69" customWidth="1"/>
    <col min="3836" max="3836" width="17" style="69" customWidth="1"/>
    <col min="3837" max="3838" width="7.08984375" style="69" customWidth="1"/>
    <col min="3839" max="3839" width="7.54296875" style="69" customWidth="1"/>
    <col min="3840" max="3840" width="8.453125" style="69" customWidth="1"/>
    <col min="3841" max="3843" width="7.54296875" style="69" customWidth="1"/>
    <col min="3844" max="3844" width="8.453125" style="69" customWidth="1"/>
    <col min="3845" max="4090" width="9.08984375" style="69"/>
    <col min="4091" max="4091" width="0.90625" style="69" customWidth="1"/>
    <col min="4092" max="4092" width="17" style="69" customWidth="1"/>
    <col min="4093" max="4094" width="7.08984375" style="69" customWidth="1"/>
    <col min="4095" max="4095" width="7.54296875" style="69" customWidth="1"/>
    <col min="4096" max="4096" width="8.453125" style="69" customWidth="1"/>
    <col min="4097" max="4099" width="7.54296875" style="69" customWidth="1"/>
    <col min="4100" max="4100" width="8.453125" style="69" customWidth="1"/>
    <col min="4101" max="4346" width="9.08984375" style="69"/>
    <col min="4347" max="4347" width="0.90625" style="69" customWidth="1"/>
    <col min="4348" max="4348" width="17" style="69" customWidth="1"/>
    <col min="4349" max="4350" width="7.08984375" style="69" customWidth="1"/>
    <col min="4351" max="4351" width="7.54296875" style="69" customWidth="1"/>
    <col min="4352" max="4352" width="8.453125" style="69" customWidth="1"/>
    <col min="4353" max="4355" width="7.54296875" style="69" customWidth="1"/>
    <col min="4356" max="4356" width="8.453125" style="69" customWidth="1"/>
    <col min="4357" max="4602" width="9.08984375" style="69"/>
    <col min="4603" max="4603" width="0.90625" style="69" customWidth="1"/>
    <col min="4604" max="4604" width="17" style="69" customWidth="1"/>
    <col min="4605" max="4606" width="7.08984375" style="69" customWidth="1"/>
    <col min="4607" max="4607" width="7.54296875" style="69" customWidth="1"/>
    <col min="4608" max="4608" width="8.453125" style="69" customWidth="1"/>
    <col min="4609" max="4611" width="7.54296875" style="69" customWidth="1"/>
    <col min="4612" max="4612" width="8.453125" style="69" customWidth="1"/>
    <col min="4613" max="4858" width="9.08984375" style="69"/>
    <col min="4859" max="4859" width="0.90625" style="69" customWidth="1"/>
    <col min="4860" max="4860" width="17" style="69" customWidth="1"/>
    <col min="4861" max="4862" width="7.08984375" style="69" customWidth="1"/>
    <col min="4863" max="4863" width="7.54296875" style="69" customWidth="1"/>
    <col min="4864" max="4864" width="8.453125" style="69" customWidth="1"/>
    <col min="4865" max="4867" width="7.54296875" style="69" customWidth="1"/>
    <col min="4868" max="4868" width="8.453125" style="69" customWidth="1"/>
    <col min="4869" max="5114" width="9.08984375" style="69"/>
    <col min="5115" max="5115" width="0.90625" style="69" customWidth="1"/>
    <col min="5116" max="5116" width="17" style="69" customWidth="1"/>
    <col min="5117" max="5118" width="7.08984375" style="69" customWidth="1"/>
    <col min="5119" max="5119" width="7.54296875" style="69" customWidth="1"/>
    <col min="5120" max="5120" width="8.453125" style="69" customWidth="1"/>
    <col min="5121" max="5123" width="7.54296875" style="69" customWidth="1"/>
    <col min="5124" max="5124" width="8.453125" style="69" customWidth="1"/>
    <col min="5125" max="5370" width="9.08984375" style="69"/>
    <col min="5371" max="5371" width="0.90625" style="69" customWidth="1"/>
    <col min="5372" max="5372" width="17" style="69" customWidth="1"/>
    <col min="5373" max="5374" width="7.08984375" style="69" customWidth="1"/>
    <col min="5375" max="5375" width="7.54296875" style="69" customWidth="1"/>
    <col min="5376" max="5376" width="8.453125" style="69" customWidth="1"/>
    <col min="5377" max="5379" width="7.54296875" style="69" customWidth="1"/>
    <col min="5380" max="5380" width="8.453125" style="69" customWidth="1"/>
    <col min="5381" max="5626" width="9.08984375" style="69"/>
    <col min="5627" max="5627" width="0.90625" style="69" customWidth="1"/>
    <col min="5628" max="5628" width="17" style="69" customWidth="1"/>
    <col min="5629" max="5630" width="7.08984375" style="69" customWidth="1"/>
    <col min="5631" max="5631" width="7.54296875" style="69" customWidth="1"/>
    <col min="5632" max="5632" width="8.453125" style="69" customWidth="1"/>
    <col min="5633" max="5635" width="7.54296875" style="69" customWidth="1"/>
    <col min="5636" max="5636" width="8.453125" style="69" customWidth="1"/>
    <col min="5637" max="5882" width="9.08984375" style="69"/>
    <col min="5883" max="5883" width="0.90625" style="69" customWidth="1"/>
    <col min="5884" max="5884" width="17" style="69" customWidth="1"/>
    <col min="5885" max="5886" width="7.08984375" style="69" customWidth="1"/>
    <col min="5887" max="5887" width="7.54296875" style="69" customWidth="1"/>
    <col min="5888" max="5888" width="8.453125" style="69" customWidth="1"/>
    <col min="5889" max="5891" width="7.54296875" style="69" customWidth="1"/>
    <col min="5892" max="5892" width="8.453125" style="69" customWidth="1"/>
    <col min="5893" max="6138" width="9.08984375" style="69"/>
    <col min="6139" max="6139" width="0.90625" style="69" customWidth="1"/>
    <col min="6140" max="6140" width="17" style="69" customWidth="1"/>
    <col min="6141" max="6142" width="7.08984375" style="69" customWidth="1"/>
    <col min="6143" max="6143" width="7.54296875" style="69" customWidth="1"/>
    <col min="6144" max="6144" width="8.453125" style="69" customWidth="1"/>
    <col min="6145" max="6147" width="7.54296875" style="69" customWidth="1"/>
    <col min="6148" max="6148" width="8.453125" style="69" customWidth="1"/>
    <col min="6149" max="6394" width="9.08984375" style="69"/>
    <col min="6395" max="6395" width="0.90625" style="69" customWidth="1"/>
    <col min="6396" max="6396" width="17" style="69" customWidth="1"/>
    <col min="6397" max="6398" width="7.08984375" style="69" customWidth="1"/>
    <col min="6399" max="6399" width="7.54296875" style="69" customWidth="1"/>
    <col min="6400" max="6400" width="8.453125" style="69" customWidth="1"/>
    <col min="6401" max="6403" width="7.54296875" style="69" customWidth="1"/>
    <col min="6404" max="6404" width="8.453125" style="69" customWidth="1"/>
    <col min="6405" max="6650" width="9.08984375" style="69"/>
    <col min="6651" max="6651" width="0.90625" style="69" customWidth="1"/>
    <col min="6652" max="6652" width="17" style="69" customWidth="1"/>
    <col min="6653" max="6654" width="7.08984375" style="69" customWidth="1"/>
    <col min="6655" max="6655" width="7.54296875" style="69" customWidth="1"/>
    <col min="6656" max="6656" width="8.453125" style="69" customWidth="1"/>
    <col min="6657" max="6659" width="7.54296875" style="69" customWidth="1"/>
    <col min="6660" max="6660" width="8.453125" style="69" customWidth="1"/>
    <col min="6661" max="6906" width="9.08984375" style="69"/>
    <col min="6907" max="6907" width="0.90625" style="69" customWidth="1"/>
    <col min="6908" max="6908" width="17" style="69" customWidth="1"/>
    <col min="6909" max="6910" width="7.08984375" style="69" customWidth="1"/>
    <col min="6911" max="6911" width="7.54296875" style="69" customWidth="1"/>
    <col min="6912" max="6912" width="8.453125" style="69" customWidth="1"/>
    <col min="6913" max="6915" width="7.54296875" style="69" customWidth="1"/>
    <col min="6916" max="6916" width="8.453125" style="69" customWidth="1"/>
    <col min="6917" max="7162" width="9.08984375" style="69"/>
    <col min="7163" max="7163" width="0.90625" style="69" customWidth="1"/>
    <col min="7164" max="7164" width="17" style="69" customWidth="1"/>
    <col min="7165" max="7166" width="7.08984375" style="69" customWidth="1"/>
    <col min="7167" max="7167" width="7.54296875" style="69" customWidth="1"/>
    <col min="7168" max="7168" width="8.453125" style="69" customWidth="1"/>
    <col min="7169" max="7171" width="7.54296875" style="69" customWidth="1"/>
    <col min="7172" max="7172" width="8.453125" style="69" customWidth="1"/>
    <col min="7173" max="7418" width="9.08984375" style="69"/>
    <col min="7419" max="7419" width="0.90625" style="69" customWidth="1"/>
    <col min="7420" max="7420" width="17" style="69" customWidth="1"/>
    <col min="7421" max="7422" width="7.08984375" style="69" customWidth="1"/>
    <col min="7423" max="7423" width="7.54296875" style="69" customWidth="1"/>
    <col min="7424" max="7424" width="8.453125" style="69" customWidth="1"/>
    <col min="7425" max="7427" width="7.54296875" style="69" customWidth="1"/>
    <col min="7428" max="7428" width="8.453125" style="69" customWidth="1"/>
    <col min="7429" max="7674" width="9.08984375" style="69"/>
    <col min="7675" max="7675" width="0.90625" style="69" customWidth="1"/>
    <col min="7676" max="7676" width="17" style="69" customWidth="1"/>
    <col min="7677" max="7678" width="7.08984375" style="69" customWidth="1"/>
    <col min="7679" max="7679" width="7.54296875" style="69" customWidth="1"/>
    <col min="7680" max="7680" width="8.453125" style="69" customWidth="1"/>
    <col min="7681" max="7683" width="7.54296875" style="69" customWidth="1"/>
    <col min="7684" max="7684" width="8.453125" style="69" customWidth="1"/>
    <col min="7685" max="7930" width="9.08984375" style="69"/>
    <col min="7931" max="7931" width="0.90625" style="69" customWidth="1"/>
    <col min="7932" max="7932" width="17" style="69" customWidth="1"/>
    <col min="7933" max="7934" width="7.08984375" style="69" customWidth="1"/>
    <col min="7935" max="7935" width="7.54296875" style="69" customWidth="1"/>
    <col min="7936" max="7936" width="8.453125" style="69" customWidth="1"/>
    <col min="7937" max="7939" width="7.54296875" style="69" customWidth="1"/>
    <col min="7940" max="7940" width="8.453125" style="69" customWidth="1"/>
    <col min="7941" max="8186" width="9.08984375" style="69"/>
    <col min="8187" max="8187" width="0.90625" style="69" customWidth="1"/>
    <col min="8188" max="8188" width="17" style="69" customWidth="1"/>
    <col min="8189" max="8190" width="7.08984375" style="69" customWidth="1"/>
    <col min="8191" max="8191" width="7.54296875" style="69" customWidth="1"/>
    <col min="8192" max="8192" width="8.453125" style="69" customWidth="1"/>
    <col min="8193" max="8195" width="7.54296875" style="69" customWidth="1"/>
    <col min="8196" max="8196" width="8.453125" style="69" customWidth="1"/>
    <col min="8197" max="8442" width="9.08984375" style="69"/>
    <col min="8443" max="8443" width="0.90625" style="69" customWidth="1"/>
    <col min="8444" max="8444" width="17" style="69" customWidth="1"/>
    <col min="8445" max="8446" width="7.08984375" style="69" customWidth="1"/>
    <col min="8447" max="8447" width="7.54296875" style="69" customWidth="1"/>
    <col min="8448" max="8448" width="8.453125" style="69" customWidth="1"/>
    <col min="8449" max="8451" width="7.54296875" style="69" customWidth="1"/>
    <col min="8452" max="8452" width="8.453125" style="69" customWidth="1"/>
    <col min="8453" max="8698" width="9.08984375" style="69"/>
    <col min="8699" max="8699" width="0.90625" style="69" customWidth="1"/>
    <col min="8700" max="8700" width="17" style="69" customWidth="1"/>
    <col min="8701" max="8702" width="7.08984375" style="69" customWidth="1"/>
    <col min="8703" max="8703" width="7.54296875" style="69" customWidth="1"/>
    <col min="8704" max="8704" width="8.453125" style="69" customWidth="1"/>
    <col min="8705" max="8707" width="7.54296875" style="69" customWidth="1"/>
    <col min="8708" max="8708" width="8.453125" style="69" customWidth="1"/>
    <col min="8709" max="8954" width="9.08984375" style="69"/>
    <col min="8955" max="8955" width="0.90625" style="69" customWidth="1"/>
    <col min="8956" max="8956" width="17" style="69" customWidth="1"/>
    <col min="8957" max="8958" width="7.08984375" style="69" customWidth="1"/>
    <col min="8959" max="8959" width="7.54296875" style="69" customWidth="1"/>
    <col min="8960" max="8960" width="8.453125" style="69" customWidth="1"/>
    <col min="8961" max="8963" width="7.54296875" style="69" customWidth="1"/>
    <col min="8964" max="8964" width="8.453125" style="69" customWidth="1"/>
    <col min="8965" max="9210" width="9.08984375" style="69"/>
    <col min="9211" max="9211" width="0.90625" style="69" customWidth="1"/>
    <col min="9212" max="9212" width="17" style="69" customWidth="1"/>
    <col min="9213" max="9214" width="7.08984375" style="69" customWidth="1"/>
    <col min="9215" max="9215" width="7.54296875" style="69" customWidth="1"/>
    <col min="9216" max="9216" width="8.453125" style="69" customWidth="1"/>
    <col min="9217" max="9219" width="7.54296875" style="69" customWidth="1"/>
    <col min="9220" max="9220" width="8.453125" style="69" customWidth="1"/>
    <col min="9221" max="9466" width="9.08984375" style="69"/>
    <col min="9467" max="9467" width="0.90625" style="69" customWidth="1"/>
    <col min="9468" max="9468" width="17" style="69" customWidth="1"/>
    <col min="9469" max="9470" width="7.08984375" style="69" customWidth="1"/>
    <col min="9471" max="9471" width="7.54296875" style="69" customWidth="1"/>
    <col min="9472" max="9472" width="8.453125" style="69" customWidth="1"/>
    <col min="9473" max="9475" width="7.54296875" style="69" customWidth="1"/>
    <col min="9476" max="9476" width="8.453125" style="69" customWidth="1"/>
    <col min="9477" max="9722" width="9.08984375" style="69"/>
    <col min="9723" max="9723" width="0.90625" style="69" customWidth="1"/>
    <col min="9724" max="9724" width="17" style="69" customWidth="1"/>
    <col min="9725" max="9726" width="7.08984375" style="69" customWidth="1"/>
    <col min="9727" max="9727" width="7.54296875" style="69" customWidth="1"/>
    <col min="9728" max="9728" width="8.453125" style="69" customWidth="1"/>
    <col min="9729" max="9731" width="7.54296875" style="69" customWidth="1"/>
    <col min="9732" max="9732" width="8.453125" style="69" customWidth="1"/>
    <col min="9733" max="9978" width="9.08984375" style="69"/>
    <col min="9979" max="9979" width="0.90625" style="69" customWidth="1"/>
    <col min="9980" max="9980" width="17" style="69" customWidth="1"/>
    <col min="9981" max="9982" width="7.08984375" style="69" customWidth="1"/>
    <col min="9983" max="9983" width="7.54296875" style="69" customWidth="1"/>
    <col min="9984" max="9984" width="8.453125" style="69" customWidth="1"/>
    <col min="9985" max="9987" width="7.54296875" style="69" customWidth="1"/>
    <col min="9988" max="9988" width="8.453125" style="69" customWidth="1"/>
    <col min="9989" max="10234" width="9.08984375" style="69"/>
    <col min="10235" max="10235" width="0.90625" style="69" customWidth="1"/>
    <col min="10236" max="10236" width="17" style="69" customWidth="1"/>
    <col min="10237" max="10238" width="7.08984375" style="69" customWidth="1"/>
    <col min="10239" max="10239" width="7.54296875" style="69" customWidth="1"/>
    <col min="10240" max="10240" width="8.453125" style="69" customWidth="1"/>
    <col min="10241" max="10243" width="7.54296875" style="69" customWidth="1"/>
    <col min="10244" max="10244" width="8.453125" style="69" customWidth="1"/>
    <col min="10245" max="10490" width="9.08984375" style="69"/>
    <col min="10491" max="10491" width="0.90625" style="69" customWidth="1"/>
    <col min="10492" max="10492" width="17" style="69" customWidth="1"/>
    <col min="10493" max="10494" width="7.08984375" style="69" customWidth="1"/>
    <col min="10495" max="10495" width="7.54296875" style="69" customWidth="1"/>
    <col min="10496" max="10496" width="8.453125" style="69" customWidth="1"/>
    <col min="10497" max="10499" width="7.54296875" style="69" customWidth="1"/>
    <col min="10500" max="10500" width="8.453125" style="69" customWidth="1"/>
    <col min="10501" max="10746" width="9.08984375" style="69"/>
    <col min="10747" max="10747" width="0.90625" style="69" customWidth="1"/>
    <col min="10748" max="10748" width="17" style="69" customWidth="1"/>
    <col min="10749" max="10750" width="7.08984375" style="69" customWidth="1"/>
    <col min="10751" max="10751" width="7.54296875" style="69" customWidth="1"/>
    <col min="10752" max="10752" width="8.453125" style="69" customWidth="1"/>
    <col min="10753" max="10755" width="7.54296875" style="69" customWidth="1"/>
    <col min="10756" max="10756" width="8.453125" style="69" customWidth="1"/>
    <col min="10757" max="11002" width="9.08984375" style="69"/>
    <col min="11003" max="11003" width="0.90625" style="69" customWidth="1"/>
    <col min="11004" max="11004" width="17" style="69" customWidth="1"/>
    <col min="11005" max="11006" width="7.08984375" style="69" customWidth="1"/>
    <col min="11007" max="11007" width="7.54296875" style="69" customWidth="1"/>
    <col min="11008" max="11008" width="8.453125" style="69" customWidth="1"/>
    <col min="11009" max="11011" width="7.54296875" style="69" customWidth="1"/>
    <col min="11012" max="11012" width="8.453125" style="69" customWidth="1"/>
    <col min="11013" max="11258" width="9.08984375" style="69"/>
    <col min="11259" max="11259" width="0.90625" style="69" customWidth="1"/>
    <col min="11260" max="11260" width="17" style="69" customWidth="1"/>
    <col min="11261" max="11262" width="7.08984375" style="69" customWidth="1"/>
    <col min="11263" max="11263" width="7.54296875" style="69" customWidth="1"/>
    <col min="11264" max="11264" width="8.453125" style="69" customWidth="1"/>
    <col min="11265" max="11267" width="7.54296875" style="69" customWidth="1"/>
    <col min="11268" max="11268" width="8.453125" style="69" customWidth="1"/>
    <col min="11269" max="11514" width="9.08984375" style="69"/>
    <col min="11515" max="11515" width="0.90625" style="69" customWidth="1"/>
    <col min="11516" max="11516" width="17" style="69" customWidth="1"/>
    <col min="11517" max="11518" width="7.08984375" style="69" customWidth="1"/>
    <col min="11519" max="11519" width="7.54296875" style="69" customWidth="1"/>
    <col min="11520" max="11520" width="8.453125" style="69" customWidth="1"/>
    <col min="11521" max="11523" width="7.54296875" style="69" customWidth="1"/>
    <col min="11524" max="11524" width="8.453125" style="69" customWidth="1"/>
    <col min="11525" max="11770" width="9.08984375" style="69"/>
    <col min="11771" max="11771" width="0.90625" style="69" customWidth="1"/>
    <col min="11772" max="11772" width="17" style="69" customWidth="1"/>
    <col min="11773" max="11774" width="7.08984375" style="69" customWidth="1"/>
    <col min="11775" max="11775" width="7.54296875" style="69" customWidth="1"/>
    <col min="11776" max="11776" width="8.453125" style="69" customWidth="1"/>
    <col min="11777" max="11779" width="7.54296875" style="69" customWidth="1"/>
    <col min="11780" max="11780" width="8.453125" style="69" customWidth="1"/>
    <col min="11781" max="12026" width="9.08984375" style="69"/>
    <col min="12027" max="12027" width="0.90625" style="69" customWidth="1"/>
    <col min="12028" max="12028" width="17" style="69" customWidth="1"/>
    <col min="12029" max="12030" width="7.08984375" style="69" customWidth="1"/>
    <col min="12031" max="12031" width="7.54296875" style="69" customWidth="1"/>
    <col min="12032" max="12032" width="8.453125" style="69" customWidth="1"/>
    <col min="12033" max="12035" width="7.54296875" style="69" customWidth="1"/>
    <col min="12036" max="12036" width="8.453125" style="69" customWidth="1"/>
    <col min="12037" max="12282" width="9.08984375" style="69"/>
    <col min="12283" max="12283" width="0.90625" style="69" customWidth="1"/>
    <col min="12284" max="12284" width="17" style="69" customWidth="1"/>
    <col min="12285" max="12286" width="7.08984375" style="69" customWidth="1"/>
    <col min="12287" max="12287" width="7.54296875" style="69" customWidth="1"/>
    <col min="12288" max="12288" width="8.453125" style="69" customWidth="1"/>
    <col min="12289" max="12291" width="7.54296875" style="69" customWidth="1"/>
    <col min="12292" max="12292" width="8.453125" style="69" customWidth="1"/>
    <col min="12293" max="12538" width="9.08984375" style="69"/>
    <col min="12539" max="12539" width="0.90625" style="69" customWidth="1"/>
    <col min="12540" max="12540" width="17" style="69" customWidth="1"/>
    <col min="12541" max="12542" width="7.08984375" style="69" customWidth="1"/>
    <col min="12543" max="12543" width="7.54296875" style="69" customWidth="1"/>
    <col min="12544" max="12544" width="8.453125" style="69" customWidth="1"/>
    <col min="12545" max="12547" width="7.54296875" style="69" customWidth="1"/>
    <col min="12548" max="12548" width="8.453125" style="69" customWidth="1"/>
    <col min="12549" max="12794" width="9.08984375" style="69"/>
    <col min="12795" max="12795" width="0.90625" style="69" customWidth="1"/>
    <col min="12796" max="12796" width="17" style="69" customWidth="1"/>
    <col min="12797" max="12798" width="7.08984375" style="69" customWidth="1"/>
    <col min="12799" max="12799" width="7.54296875" style="69" customWidth="1"/>
    <col min="12800" max="12800" width="8.453125" style="69" customWidth="1"/>
    <col min="12801" max="12803" width="7.54296875" style="69" customWidth="1"/>
    <col min="12804" max="12804" width="8.453125" style="69" customWidth="1"/>
    <col min="12805" max="13050" width="9.08984375" style="69"/>
    <col min="13051" max="13051" width="0.90625" style="69" customWidth="1"/>
    <col min="13052" max="13052" width="17" style="69" customWidth="1"/>
    <col min="13053" max="13054" width="7.08984375" style="69" customWidth="1"/>
    <col min="13055" max="13055" width="7.54296875" style="69" customWidth="1"/>
    <col min="13056" max="13056" width="8.453125" style="69" customWidth="1"/>
    <col min="13057" max="13059" width="7.54296875" style="69" customWidth="1"/>
    <col min="13060" max="13060" width="8.453125" style="69" customWidth="1"/>
    <col min="13061" max="13306" width="9.08984375" style="69"/>
    <col min="13307" max="13307" width="0.90625" style="69" customWidth="1"/>
    <col min="13308" max="13308" width="17" style="69" customWidth="1"/>
    <col min="13309" max="13310" width="7.08984375" style="69" customWidth="1"/>
    <col min="13311" max="13311" width="7.54296875" style="69" customWidth="1"/>
    <col min="13312" max="13312" width="8.453125" style="69" customWidth="1"/>
    <col min="13313" max="13315" width="7.54296875" style="69" customWidth="1"/>
    <col min="13316" max="13316" width="8.453125" style="69" customWidth="1"/>
    <col min="13317" max="13562" width="9.08984375" style="69"/>
    <col min="13563" max="13563" width="0.90625" style="69" customWidth="1"/>
    <col min="13564" max="13564" width="17" style="69" customWidth="1"/>
    <col min="13565" max="13566" width="7.08984375" style="69" customWidth="1"/>
    <col min="13567" max="13567" width="7.54296875" style="69" customWidth="1"/>
    <col min="13568" max="13568" width="8.453125" style="69" customWidth="1"/>
    <col min="13569" max="13571" width="7.54296875" style="69" customWidth="1"/>
    <col min="13572" max="13572" width="8.453125" style="69" customWidth="1"/>
    <col min="13573" max="13818" width="9.08984375" style="69"/>
    <col min="13819" max="13819" width="0.90625" style="69" customWidth="1"/>
    <col min="13820" max="13820" width="17" style="69" customWidth="1"/>
    <col min="13821" max="13822" width="7.08984375" style="69" customWidth="1"/>
    <col min="13823" max="13823" width="7.54296875" style="69" customWidth="1"/>
    <col min="13824" max="13824" width="8.453125" style="69" customWidth="1"/>
    <col min="13825" max="13827" width="7.54296875" style="69" customWidth="1"/>
    <col min="13828" max="13828" width="8.453125" style="69" customWidth="1"/>
    <col min="13829" max="14074" width="9.08984375" style="69"/>
    <col min="14075" max="14075" width="0.90625" style="69" customWidth="1"/>
    <col min="14076" max="14076" width="17" style="69" customWidth="1"/>
    <col min="14077" max="14078" width="7.08984375" style="69" customWidth="1"/>
    <col min="14079" max="14079" width="7.54296875" style="69" customWidth="1"/>
    <col min="14080" max="14080" width="8.453125" style="69" customWidth="1"/>
    <col min="14081" max="14083" width="7.54296875" style="69" customWidth="1"/>
    <col min="14084" max="14084" width="8.453125" style="69" customWidth="1"/>
    <col min="14085" max="14330" width="9.08984375" style="69"/>
    <col min="14331" max="14331" width="0.90625" style="69" customWidth="1"/>
    <col min="14332" max="14332" width="17" style="69" customWidth="1"/>
    <col min="14333" max="14334" width="7.08984375" style="69" customWidth="1"/>
    <col min="14335" max="14335" width="7.54296875" style="69" customWidth="1"/>
    <col min="14336" max="14336" width="8.453125" style="69" customWidth="1"/>
    <col min="14337" max="14339" width="7.54296875" style="69" customWidth="1"/>
    <col min="14340" max="14340" width="8.453125" style="69" customWidth="1"/>
    <col min="14341" max="14586" width="9.08984375" style="69"/>
    <col min="14587" max="14587" width="0.90625" style="69" customWidth="1"/>
    <col min="14588" max="14588" width="17" style="69" customWidth="1"/>
    <col min="14589" max="14590" width="7.08984375" style="69" customWidth="1"/>
    <col min="14591" max="14591" width="7.54296875" style="69" customWidth="1"/>
    <col min="14592" max="14592" width="8.453125" style="69" customWidth="1"/>
    <col min="14593" max="14595" width="7.54296875" style="69" customWidth="1"/>
    <col min="14596" max="14596" width="8.453125" style="69" customWidth="1"/>
    <col min="14597" max="14842" width="9.08984375" style="69"/>
    <col min="14843" max="14843" width="0.90625" style="69" customWidth="1"/>
    <col min="14844" max="14844" width="17" style="69" customWidth="1"/>
    <col min="14845" max="14846" width="7.08984375" style="69" customWidth="1"/>
    <col min="14847" max="14847" width="7.54296875" style="69" customWidth="1"/>
    <col min="14848" max="14848" width="8.453125" style="69" customWidth="1"/>
    <col min="14849" max="14851" width="7.54296875" style="69" customWidth="1"/>
    <col min="14852" max="14852" width="8.453125" style="69" customWidth="1"/>
    <col min="14853" max="15098" width="9.08984375" style="69"/>
    <col min="15099" max="15099" width="0.90625" style="69" customWidth="1"/>
    <col min="15100" max="15100" width="17" style="69" customWidth="1"/>
    <col min="15101" max="15102" width="7.08984375" style="69" customWidth="1"/>
    <col min="15103" max="15103" width="7.54296875" style="69" customWidth="1"/>
    <col min="15104" max="15104" width="8.453125" style="69" customWidth="1"/>
    <col min="15105" max="15107" width="7.54296875" style="69" customWidth="1"/>
    <col min="15108" max="15108" width="8.453125" style="69" customWidth="1"/>
    <col min="15109" max="15354" width="9.08984375" style="69"/>
    <col min="15355" max="15355" width="0.90625" style="69" customWidth="1"/>
    <col min="15356" max="15356" width="17" style="69" customWidth="1"/>
    <col min="15357" max="15358" width="7.08984375" style="69" customWidth="1"/>
    <col min="15359" max="15359" width="7.54296875" style="69" customWidth="1"/>
    <col min="15360" max="15360" width="8.453125" style="69" customWidth="1"/>
    <col min="15361" max="15363" width="7.54296875" style="69" customWidth="1"/>
    <col min="15364" max="15364" width="8.453125" style="69" customWidth="1"/>
    <col min="15365" max="15610" width="9.08984375" style="69"/>
    <col min="15611" max="15611" width="0.90625" style="69" customWidth="1"/>
    <col min="15612" max="15612" width="17" style="69" customWidth="1"/>
    <col min="15613" max="15614" width="7.08984375" style="69" customWidth="1"/>
    <col min="15615" max="15615" width="7.54296875" style="69" customWidth="1"/>
    <col min="15616" max="15616" width="8.453125" style="69" customWidth="1"/>
    <col min="15617" max="15619" width="7.54296875" style="69" customWidth="1"/>
    <col min="15620" max="15620" width="8.453125" style="69" customWidth="1"/>
    <col min="15621" max="15866" width="9.08984375" style="69"/>
    <col min="15867" max="15867" width="0.90625" style="69" customWidth="1"/>
    <col min="15868" max="15868" width="17" style="69" customWidth="1"/>
    <col min="15869" max="15870" width="7.08984375" style="69" customWidth="1"/>
    <col min="15871" max="15871" width="7.54296875" style="69" customWidth="1"/>
    <col min="15872" max="15872" width="8.453125" style="69" customWidth="1"/>
    <col min="15873" max="15875" width="7.54296875" style="69" customWidth="1"/>
    <col min="15876" max="15876" width="8.453125" style="69" customWidth="1"/>
    <col min="15877" max="16122" width="9.08984375" style="69"/>
    <col min="16123" max="16123" width="0.90625" style="69" customWidth="1"/>
    <col min="16124" max="16124" width="17" style="69" customWidth="1"/>
    <col min="16125" max="16126" width="7.08984375" style="69" customWidth="1"/>
    <col min="16127" max="16127" width="7.54296875" style="69" customWidth="1"/>
    <col min="16128" max="16128" width="8.453125" style="69" customWidth="1"/>
    <col min="16129" max="16131" width="7.54296875" style="69" customWidth="1"/>
    <col min="16132" max="16132" width="8.453125" style="69" customWidth="1"/>
    <col min="16133" max="16384" width="9.08984375" style="69"/>
  </cols>
  <sheetData>
    <row r="1" spans="1:19" x14ac:dyDescent="0.35">
      <c r="A1" s="88" t="s">
        <v>147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90"/>
    </row>
    <row r="2" spans="1:19" ht="15" customHeight="1" x14ac:dyDescent="0.35">
      <c r="A2" s="91"/>
      <c r="B2" s="122" t="s">
        <v>80</v>
      </c>
      <c r="C2" s="109" t="s">
        <v>74</v>
      </c>
      <c r="D2" s="109" t="s">
        <v>75</v>
      </c>
      <c r="E2" s="109" t="s">
        <v>76</v>
      </c>
      <c r="F2" s="109" t="s">
        <v>77</v>
      </c>
      <c r="G2" s="109" t="s">
        <v>78</v>
      </c>
      <c r="H2" s="109" t="s">
        <v>2</v>
      </c>
      <c r="I2" s="109" t="s">
        <v>79</v>
      </c>
      <c r="J2" s="109" t="s">
        <v>4</v>
      </c>
      <c r="K2" s="109" t="s">
        <v>5</v>
      </c>
      <c r="L2" s="110" t="s">
        <v>6</v>
      </c>
    </row>
    <row r="3" spans="1:19" x14ac:dyDescent="0.35">
      <c r="A3" s="92"/>
      <c r="B3" s="111"/>
      <c r="C3" s="123"/>
      <c r="D3" s="124"/>
      <c r="E3" s="124"/>
      <c r="F3" s="124"/>
      <c r="G3" s="124"/>
      <c r="H3" s="124"/>
      <c r="I3" s="125"/>
      <c r="J3" s="125"/>
      <c r="K3" s="125"/>
      <c r="L3" s="126"/>
    </row>
    <row r="4" spans="1:19" hidden="1" x14ac:dyDescent="0.35">
      <c r="A4" s="92"/>
      <c r="B4" s="112" t="s">
        <v>81</v>
      </c>
      <c r="C4" s="79">
        <v>53139.322999999997</v>
      </c>
      <c r="D4" s="78">
        <v>58331</v>
      </c>
      <c r="E4" s="78">
        <f>64130.161+3.086</f>
        <v>64133.247000000003</v>
      </c>
      <c r="F4" s="78">
        <f>('[1]2'!$L$47+'[1]2'!$L$48)/1000</f>
        <v>70544.475999999995</v>
      </c>
      <c r="G4" s="78">
        <f>83493+1.762</f>
        <v>83494.762000000002</v>
      </c>
      <c r="H4" s="78">
        <f>81024.952+1.101</f>
        <v>81026.053</v>
      </c>
      <c r="I4" s="78">
        <f>86486.656+1.197</f>
        <v>86487.853000000003</v>
      </c>
      <c r="J4" s="78">
        <f>92145.781+0.962</f>
        <v>92146.743000000002</v>
      </c>
      <c r="K4" s="78">
        <f>95100.181+0.966</f>
        <v>95101.146999999997</v>
      </c>
      <c r="L4" s="80">
        <f>102371.078+1.009</f>
        <v>102372.087</v>
      </c>
    </row>
    <row r="5" spans="1:19" hidden="1" x14ac:dyDescent="0.35">
      <c r="A5" s="92"/>
      <c r="B5" s="112" t="s">
        <v>82</v>
      </c>
      <c r="C5" s="79">
        <v>19166.969000000001</v>
      </c>
      <c r="D5" s="78">
        <v>19851</v>
      </c>
      <c r="E5" s="78">
        <v>20944.847000000002</v>
      </c>
      <c r="F5" s="78">
        <f>'[1]2'!L49/1000</f>
        <v>21960.632000000001</v>
      </c>
      <c r="G5" s="78">
        <v>25118.06</v>
      </c>
      <c r="H5" s="78">
        <v>23031.721000000001</v>
      </c>
      <c r="I5" s="78">
        <v>23578.935000000001</v>
      </c>
      <c r="J5" s="78">
        <v>24703.937000000002</v>
      </c>
      <c r="K5" s="78">
        <v>26800.768</v>
      </c>
      <c r="L5" s="80">
        <v>26992.101999999999</v>
      </c>
    </row>
    <row r="6" spans="1:19" hidden="1" x14ac:dyDescent="0.35">
      <c r="A6" s="92"/>
      <c r="B6" s="112" t="s">
        <v>83</v>
      </c>
      <c r="C6" s="79">
        <v>5408.37</v>
      </c>
      <c r="D6" s="78">
        <v>5328</v>
      </c>
      <c r="E6" s="78">
        <v>5207.0259999999998</v>
      </c>
      <c r="F6" s="78">
        <f>'[1]2'!L50/1000</f>
        <v>5114.2110000000002</v>
      </c>
      <c r="G6" s="78">
        <v>5397.74</v>
      </c>
      <c r="H6" s="78">
        <v>4783.1099999999997</v>
      </c>
      <c r="I6" s="78">
        <v>4338.12</v>
      </c>
      <c r="J6" s="78">
        <v>4057.0909999999999</v>
      </c>
      <c r="K6" s="78">
        <v>3574.598</v>
      </c>
      <c r="L6" s="80">
        <v>3735.1309999999999</v>
      </c>
    </row>
    <row r="7" spans="1:19" hidden="1" x14ac:dyDescent="0.35">
      <c r="A7" s="92"/>
      <c r="B7" s="112" t="s">
        <v>84</v>
      </c>
      <c r="C7" s="79">
        <v>2394.7020000000002</v>
      </c>
      <c r="D7" s="78">
        <v>2614</v>
      </c>
      <c r="E7" s="78">
        <v>2841.422</v>
      </c>
      <c r="F7" s="78">
        <f>'[1]2'!L51/1000</f>
        <v>3068.0279999999998</v>
      </c>
      <c r="G7" s="78">
        <v>3598.47</v>
      </c>
      <c r="H7" s="78">
        <v>3445.7759999999998</v>
      </c>
      <c r="I7" s="78">
        <v>3658.0149999999999</v>
      </c>
      <c r="J7" s="78">
        <v>3874.808</v>
      </c>
      <c r="K7" s="78">
        <v>3889.694</v>
      </c>
      <c r="L7" s="80">
        <v>4064.3780000000002</v>
      </c>
    </row>
    <row r="8" spans="1:19" hidden="1" x14ac:dyDescent="0.35">
      <c r="A8" s="92"/>
      <c r="B8" s="112" t="s">
        <v>85</v>
      </c>
      <c r="C8" s="79">
        <v>47308.008000000002</v>
      </c>
      <c r="D8" s="78">
        <v>51555</v>
      </c>
      <c r="E8" s="78">
        <v>55847.798999999999</v>
      </c>
      <c r="F8" s="78">
        <f>'[1]2'!L52/1000</f>
        <v>60611.567999999999</v>
      </c>
      <c r="G8" s="78">
        <v>70877.555999999997</v>
      </c>
      <c r="H8" s="78">
        <v>85590.842999999993</v>
      </c>
      <c r="I8" s="78">
        <v>73317.919999999998</v>
      </c>
      <c r="J8" s="78">
        <v>77224.362999999998</v>
      </c>
      <c r="K8" s="78">
        <v>80706.130999999994</v>
      </c>
      <c r="L8" s="80">
        <v>84349.017999999996</v>
      </c>
    </row>
    <row r="9" spans="1:19" hidden="1" x14ac:dyDescent="0.35">
      <c r="A9" s="92"/>
      <c r="B9" s="112" t="s">
        <v>86</v>
      </c>
      <c r="C9" s="79">
        <v>503.08499999999998</v>
      </c>
      <c r="D9" s="78">
        <v>650</v>
      </c>
      <c r="E9" s="78">
        <v>816.58799999999997</v>
      </c>
      <c r="F9" s="78">
        <f>'[1]2'!L53/1000</f>
        <v>994.20500000000004</v>
      </c>
      <c r="G9" s="78">
        <v>1400.09</v>
      </c>
      <c r="H9" s="78">
        <v>1311.643</v>
      </c>
      <c r="I9" s="78">
        <v>1600.0519999999999</v>
      </c>
      <c r="J9" s="78">
        <v>1900.87</v>
      </c>
      <c r="K9" s="78">
        <v>1809.71</v>
      </c>
      <c r="L9" s="80">
        <v>1890.9829999999999</v>
      </c>
    </row>
    <row r="10" spans="1:19" x14ac:dyDescent="0.35">
      <c r="A10" s="92"/>
      <c r="B10" s="113" t="s">
        <v>57</v>
      </c>
      <c r="C10" s="101">
        <v>412.91899999999998</v>
      </c>
      <c r="D10" s="100">
        <v>587</v>
      </c>
      <c r="E10" s="100">
        <v>545.84199999999998</v>
      </c>
      <c r="F10" s="100">
        <f>'[1]2'!L54/1000</f>
        <v>416.72</v>
      </c>
      <c r="G10" s="100">
        <v>402.697</v>
      </c>
      <c r="H10" s="100">
        <v>19756.614000000001</v>
      </c>
      <c r="I10" s="100">
        <v>31561.330999999998</v>
      </c>
      <c r="J10" s="100">
        <v>44386.78</v>
      </c>
      <c r="K10" s="100">
        <v>388.26600000000002</v>
      </c>
      <c r="L10" s="102">
        <v>405.70299999999997</v>
      </c>
    </row>
    <row r="11" spans="1:19" hidden="1" x14ac:dyDescent="0.35">
      <c r="A11" s="92"/>
      <c r="B11" s="114" t="s">
        <v>87</v>
      </c>
      <c r="C11" s="104">
        <f t="shared" ref="C11:L11" si="0">SUM(C4:C10)</f>
        <v>128333.376</v>
      </c>
      <c r="D11" s="103">
        <f t="shared" si="0"/>
        <v>138916</v>
      </c>
      <c r="E11" s="104">
        <f t="shared" si="0"/>
        <v>150336.77100000001</v>
      </c>
      <c r="F11" s="104">
        <f t="shared" si="0"/>
        <v>162709.83999999997</v>
      </c>
      <c r="G11" s="103">
        <f t="shared" si="0"/>
        <v>190289.37499999997</v>
      </c>
      <c r="H11" s="103">
        <f t="shared" si="0"/>
        <v>218945.76</v>
      </c>
      <c r="I11" s="105">
        <f t="shared" si="0"/>
        <v>224542.226</v>
      </c>
      <c r="J11" s="105">
        <f t="shared" si="0"/>
        <v>248294.592</v>
      </c>
      <c r="K11" s="105">
        <f t="shared" si="0"/>
        <v>212270.31399999998</v>
      </c>
      <c r="L11" s="105">
        <f t="shared" si="0"/>
        <v>223809.40200000003</v>
      </c>
    </row>
    <row r="12" spans="1:19" s="70" customFormat="1" hidden="1" x14ac:dyDescent="0.35">
      <c r="A12" s="93"/>
      <c r="B12" s="106" t="s">
        <v>88</v>
      </c>
      <c r="C12" s="115" t="e">
        <f>C11/#REF!-1</f>
        <v>#REF!</v>
      </c>
      <c r="D12" s="107">
        <f t="shared" ref="D12:G12" si="1">D11/C11-1</f>
        <v>8.2461977778874873E-2</v>
      </c>
      <c r="E12" s="107">
        <f t="shared" si="1"/>
        <v>8.2213503124190179E-2</v>
      </c>
      <c r="F12" s="107">
        <f t="shared" si="1"/>
        <v>8.2302346376722069E-2</v>
      </c>
      <c r="G12" s="107">
        <f t="shared" si="1"/>
        <v>0.16950133439993564</v>
      </c>
      <c r="H12" s="107">
        <f>H11/G11-1</f>
        <v>0.1505937207476773</v>
      </c>
      <c r="I12" s="107">
        <f>I11/H11-1</f>
        <v>2.5560969986356374E-2</v>
      </c>
      <c r="J12" s="107">
        <f t="shared" ref="J12:K12" si="2">J11/I11-1</f>
        <v>0.10578128854926372</v>
      </c>
      <c r="K12" s="107">
        <f t="shared" si="2"/>
        <v>-0.14508684103760106</v>
      </c>
      <c r="L12" s="108">
        <f>L11/K11-1</f>
        <v>5.4360347344660109E-2</v>
      </c>
      <c r="M12" s="71"/>
      <c r="N12" s="71"/>
      <c r="O12" s="71"/>
      <c r="P12" s="71"/>
      <c r="Q12" s="71"/>
      <c r="R12" s="71"/>
      <c r="S12" s="71"/>
    </row>
    <row r="13" spans="1:19" x14ac:dyDescent="0.35">
      <c r="A13" s="99"/>
      <c r="B13" s="98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72"/>
      <c r="N13" s="72"/>
      <c r="O13" s="72"/>
      <c r="P13" s="72"/>
      <c r="Q13" s="72"/>
      <c r="R13" s="72"/>
      <c r="S13" s="72"/>
    </row>
    <row r="14" spans="1:19" ht="24" x14ac:dyDescent="0.35">
      <c r="A14" s="323" t="s">
        <v>56</v>
      </c>
      <c r="B14" s="96" t="s">
        <v>140</v>
      </c>
      <c r="C14" s="119">
        <f>(C10/1)/'A, H and I'!C16</f>
        <v>5.8871639687617828E-4</v>
      </c>
      <c r="D14" s="120">
        <f>(D10/1)/'A, H and I'!D16</f>
        <v>7.8258633361831997E-4</v>
      </c>
      <c r="E14" s="120">
        <f>(E10/1)/'A, H and I'!E16</f>
        <v>6.8231052692633253E-4</v>
      </c>
      <c r="F14" s="120">
        <f>(F10/1)/'A, H and I'!F16</f>
        <v>4.8413806671474783E-4</v>
      </c>
      <c r="G14" s="120">
        <f>(G10/1)/'A, H and I'!G16</f>
        <v>4.3183913439907634E-4</v>
      </c>
      <c r="H14" s="120">
        <f>(H10/1)/'A, H and I'!H16</f>
        <v>1.8826773761371787E-2</v>
      </c>
      <c r="I14" s="120">
        <f>(I10/1)/'A, H and I'!I16</f>
        <v>2.9346311546878015E-2</v>
      </c>
      <c r="J14" s="120">
        <f>(J10/1)/'A, H and I'!J16</f>
        <v>3.9581292887259679E-2</v>
      </c>
      <c r="K14" s="120">
        <f>(K10/1)/'A, H and I'!K16</f>
        <v>3.576572081006347E-4</v>
      </c>
      <c r="L14" s="121">
        <f>(L10/1)/'A, H and I'!L16</f>
        <v>3.6008063940362524E-4</v>
      </c>
      <c r="M14" s="72"/>
      <c r="O14" s="72"/>
      <c r="P14" s="72"/>
      <c r="Q14" s="72"/>
      <c r="R14" s="72"/>
      <c r="S14" s="72"/>
    </row>
    <row r="15" spans="1:19" ht="24" x14ac:dyDescent="0.35">
      <c r="A15" s="324"/>
      <c r="B15" s="94" t="s">
        <v>141</v>
      </c>
      <c r="C15" s="116">
        <f>(C10/1)/'A, H and I'!C26</f>
        <v>3.3366341863702998E-4</v>
      </c>
      <c r="D15" s="117">
        <f>(D10/1)/'A, H and I'!D26</f>
        <v>4.5276285764934065E-4</v>
      </c>
      <c r="E15" s="117">
        <f>(E10/1)/'A, H and I'!E26</f>
        <v>3.9602821096099442E-4</v>
      </c>
      <c r="F15" s="117">
        <f>(F10/1)/'A, H and I'!F26</f>
        <v>2.8529341530972438E-4</v>
      </c>
      <c r="G15" s="117">
        <f>(G10/1)/'A, H and I'!G26</f>
        <v>2.5132103072023694E-4</v>
      </c>
      <c r="H15" s="117">
        <f>(H10/1)/'A, H and I'!H26</f>
        <v>1.1410274920547076E-2</v>
      </c>
      <c r="I15" s="117">
        <f>(I10/1)/'A, H and I'!I26</f>
        <v>1.7449321565301015E-2</v>
      </c>
      <c r="J15" s="117">
        <f>(J10/1)/'A, H and I'!J26</f>
        <v>2.392223644517422E-2</v>
      </c>
      <c r="K15" s="117">
        <f>(K10/1)/'A, H and I'!K26</f>
        <v>2.1080526244459993E-4</v>
      </c>
      <c r="L15" s="118">
        <f>(L10/1)/'A, H and I'!L26</f>
        <v>2.1149414302590322E-4</v>
      </c>
      <c r="M15" s="73"/>
    </row>
    <row r="16" spans="1:19" x14ac:dyDescent="0.35">
      <c r="C16" s="73"/>
      <c r="D16" s="73"/>
      <c r="E16" s="73"/>
      <c r="F16" s="73"/>
      <c r="G16" s="73"/>
      <c r="H16" s="73"/>
      <c r="I16" s="73"/>
      <c r="J16" s="74"/>
      <c r="K16" s="74"/>
      <c r="L16" s="74"/>
      <c r="M16" s="73"/>
    </row>
    <row r="17" spans="3:13" x14ac:dyDescent="0.35"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</row>
    <row r="18" spans="3:13" x14ac:dyDescent="0.35"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</row>
    <row r="19" spans="3:13" x14ac:dyDescent="0.35"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</row>
    <row r="20" spans="3:13" x14ac:dyDescent="0.35"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</row>
    <row r="21" spans="3:13" x14ac:dyDescent="0.35"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</row>
    <row r="22" spans="3:13" x14ac:dyDescent="0.35"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</row>
    <row r="23" spans="3:13" s="75" customFormat="1" x14ac:dyDescent="0.35"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</row>
  </sheetData>
  <mergeCells count="1">
    <mergeCell ref="A14:A1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14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4" sqref="D4"/>
    </sheetView>
  </sheetViews>
  <sheetFormatPr defaultColWidth="9.08984375" defaultRowHeight="12" x14ac:dyDescent="0.3"/>
  <cols>
    <col min="1" max="1" width="9.08984375" style="77"/>
    <col min="2" max="2" width="23.54296875" style="77" customWidth="1"/>
    <col min="3" max="19" width="10.81640625" style="77" customWidth="1"/>
    <col min="20" max="16384" width="9.08984375" style="77"/>
  </cols>
  <sheetData>
    <row r="1" spans="1:17" ht="14.5" x14ac:dyDescent="0.35">
      <c r="A1" s="75" t="s">
        <v>148</v>
      </c>
    </row>
    <row r="2" spans="1:17" x14ac:dyDescent="0.3">
      <c r="A2" s="91"/>
      <c r="B2" s="128" t="s">
        <v>80</v>
      </c>
      <c r="C2" s="129" t="s">
        <v>67</v>
      </c>
      <c r="D2" s="130" t="s">
        <v>68</v>
      </c>
      <c r="E2" s="130" t="s">
        <v>69</v>
      </c>
      <c r="F2" s="130" t="s">
        <v>70</v>
      </c>
      <c r="G2" s="130" t="s">
        <v>71</v>
      </c>
      <c r="H2" s="130" t="s">
        <v>72</v>
      </c>
      <c r="I2" s="130" t="s">
        <v>73</v>
      </c>
      <c r="J2" s="130" t="s">
        <v>74</v>
      </c>
      <c r="K2" s="130" t="s">
        <v>75</v>
      </c>
      <c r="L2" s="130" t="s">
        <v>76</v>
      </c>
      <c r="M2" s="130" t="s">
        <v>77</v>
      </c>
      <c r="N2" s="130" t="s">
        <v>78</v>
      </c>
      <c r="O2" s="130" t="s">
        <v>2</v>
      </c>
      <c r="P2" s="130" t="s">
        <v>79</v>
      </c>
      <c r="Q2" s="131" t="s">
        <v>4</v>
      </c>
    </row>
    <row r="3" spans="1:17" x14ac:dyDescent="0.3">
      <c r="A3" s="92"/>
      <c r="B3" s="132"/>
      <c r="C3" s="133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5"/>
    </row>
    <row r="4" spans="1:17" x14ac:dyDescent="0.3">
      <c r="A4" s="92"/>
      <c r="B4" s="113" t="s">
        <v>89</v>
      </c>
      <c r="C4" s="155">
        <v>6870.0900839999995</v>
      </c>
      <c r="D4" s="156">
        <v>7718.8418109999993</v>
      </c>
      <c r="E4" s="156">
        <v>10492.929955</v>
      </c>
      <c r="F4" s="156">
        <v>12304.20623</v>
      </c>
      <c r="G4" s="156">
        <v>12810.491028</v>
      </c>
      <c r="H4" s="156">
        <v>12285.17786</v>
      </c>
      <c r="I4" s="156">
        <v>13904.977469000001</v>
      </c>
      <c r="J4" s="156">
        <v>13377.687011329999</v>
      </c>
      <c r="K4" s="156">
        <v>14544.235174169999</v>
      </c>
      <c r="L4" s="156">
        <v>14794.46464014</v>
      </c>
      <c r="M4" s="156">
        <v>15970.024906749988</v>
      </c>
      <c r="N4" s="156">
        <v>17434.662376860022</v>
      </c>
      <c r="O4" s="156">
        <v>20437.544615079991</v>
      </c>
      <c r="P4" s="156">
        <v>20365.100053669994</v>
      </c>
      <c r="Q4" s="157">
        <v>20895.950550000001</v>
      </c>
    </row>
    <row r="5" spans="1:17" x14ac:dyDescent="0.3">
      <c r="A5" s="92"/>
      <c r="B5" s="92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2"/>
    </row>
    <row r="6" spans="1:17" ht="24" x14ac:dyDescent="0.3">
      <c r="A6" s="325" t="s">
        <v>58</v>
      </c>
      <c r="B6" s="127" t="s">
        <v>90</v>
      </c>
      <c r="C6" s="158"/>
      <c r="D6" s="159"/>
      <c r="E6" s="159"/>
      <c r="F6" s="159"/>
      <c r="G6" s="159"/>
      <c r="H6" s="159"/>
      <c r="I6" s="159"/>
      <c r="J6" s="160">
        <f>(J4/1)/'A, H and I'!C16</f>
        <v>1.9073144359662422E-2</v>
      </c>
      <c r="K6" s="160">
        <f>(K4/1)/'A, H and I'!D16</f>
        <v>1.9390323134985191E-2</v>
      </c>
      <c r="L6" s="160">
        <f>(L4/1)/'A, H and I'!E16</f>
        <v>1.8493298361443273E-2</v>
      </c>
      <c r="M6" s="160">
        <f>(M4/1)/'A, H and I'!F16</f>
        <v>1.8553697887647123E-2</v>
      </c>
      <c r="N6" s="160">
        <f>(N4/1)/'A, H and I'!G16</f>
        <v>1.8696363542224988E-2</v>
      </c>
      <c r="O6" s="160">
        <f>(O4/1)/'A, H and I'!H16</f>
        <v>1.9475656542464876E-2</v>
      </c>
      <c r="P6" s="160">
        <f>(P4/1)/'A, H and I'!I16</f>
        <v>1.8935848138291186E-2</v>
      </c>
      <c r="Q6" s="161">
        <f>(Q4/1)/'A, H and I'!J16</f>
        <v>1.8633672883620868E-2</v>
      </c>
    </row>
    <row r="7" spans="1:17" ht="24" x14ac:dyDescent="0.3">
      <c r="A7" s="326"/>
      <c r="B7" s="94" t="s">
        <v>91</v>
      </c>
      <c r="C7" s="162"/>
      <c r="D7" s="163"/>
      <c r="E7" s="163"/>
      <c r="F7" s="163"/>
      <c r="G7" s="163"/>
      <c r="H7" s="163"/>
      <c r="I7" s="163"/>
      <c r="J7" s="117">
        <f>(J4/1)/'A, H and I'!C26</f>
        <v>1.0809976730682192E-2</v>
      </c>
      <c r="K7" s="117">
        <f>(K4/1)/'A, H and I'!D26</f>
        <v>1.1218210357378645E-2</v>
      </c>
      <c r="L7" s="117">
        <f>(L4/1)/'A, H and I'!E26</f>
        <v>1.0733921837382129E-2</v>
      </c>
      <c r="M7" s="117">
        <f>(M4/1)/'A, H and I'!F26</f>
        <v>1.0933343607765565E-2</v>
      </c>
      <c r="N7" s="117">
        <f>(N4/1)/'A, H and I'!G26</f>
        <v>1.0880878970570421E-2</v>
      </c>
      <c r="O7" s="117">
        <f>(O4/1)/'A, H and I'!H26</f>
        <v>1.1803540969065303E-2</v>
      </c>
      <c r="P7" s="117">
        <f>(P4/1)/'A, H and I'!I26</f>
        <v>1.1259258348325573E-2</v>
      </c>
      <c r="Q7" s="164">
        <f>(Q4/1)/'A, H and I'!J26</f>
        <v>1.1261863775740623E-2</v>
      </c>
    </row>
    <row r="8" spans="1:17" x14ac:dyDescent="0.3">
      <c r="K8" s="83"/>
      <c r="L8" s="83"/>
      <c r="M8" s="83"/>
      <c r="N8" s="83"/>
      <c r="O8" s="83"/>
      <c r="P8" s="83"/>
    </row>
    <row r="9" spans="1:17" x14ac:dyDescent="0.3">
      <c r="K9" s="83"/>
      <c r="L9" s="83"/>
      <c r="M9" s="83"/>
      <c r="N9" s="83"/>
      <c r="O9" s="83"/>
      <c r="P9" s="83"/>
    </row>
    <row r="10" spans="1:17" x14ac:dyDescent="0.3">
      <c r="K10" s="83"/>
      <c r="L10" s="83"/>
      <c r="M10" s="83"/>
      <c r="N10" s="83"/>
      <c r="O10" s="83"/>
      <c r="P10" s="83"/>
    </row>
    <row r="11" spans="1:17" x14ac:dyDescent="0.3">
      <c r="K11" s="83"/>
      <c r="L11" s="83"/>
      <c r="M11" s="83"/>
      <c r="N11" s="83"/>
      <c r="O11" s="83"/>
      <c r="P11" s="83"/>
    </row>
    <row r="12" spans="1:17" x14ac:dyDescent="0.3">
      <c r="K12" s="83"/>
      <c r="L12" s="83"/>
      <c r="M12" s="83"/>
      <c r="N12" s="83"/>
      <c r="O12" s="83"/>
      <c r="P12" s="83"/>
    </row>
    <row r="13" spans="1:17" x14ac:dyDescent="0.3">
      <c r="K13" s="83"/>
      <c r="L13" s="83"/>
      <c r="M13" s="83"/>
      <c r="N13" s="83"/>
      <c r="O13" s="83"/>
      <c r="P13" s="83"/>
    </row>
    <row r="14" spans="1:17" x14ac:dyDescent="0.3">
      <c r="K14" s="83"/>
      <c r="L14" s="83"/>
      <c r="M14" s="83"/>
      <c r="N14" s="83"/>
      <c r="O14" s="83"/>
      <c r="P14" s="83"/>
    </row>
  </sheetData>
  <mergeCells count="1">
    <mergeCell ref="A6:A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Q7"/>
  <sheetViews>
    <sheetView showGridLines="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4" sqref="E4"/>
    </sheetView>
  </sheetViews>
  <sheetFormatPr defaultColWidth="9.08984375" defaultRowHeight="12" x14ac:dyDescent="0.3"/>
  <cols>
    <col min="1" max="1" width="9.08984375" style="137"/>
    <col min="2" max="2" width="22.54296875" style="137" customWidth="1"/>
    <col min="3" max="30" width="10.81640625" style="137" customWidth="1"/>
    <col min="31" max="16384" width="9.08984375" style="137"/>
  </cols>
  <sheetData>
    <row r="1" spans="1:43" ht="14.5" x14ac:dyDescent="0.35">
      <c r="A1" s="136" t="s">
        <v>149</v>
      </c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</row>
    <row r="2" spans="1:43" ht="14.5" x14ac:dyDescent="0.35">
      <c r="A2" s="139"/>
      <c r="B2" s="142" t="s">
        <v>80</v>
      </c>
      <c r="C2" s="144" t="s">
        <v>95</v>
      </c>
      <c r="D2" s="145" t="s">
        <v>96</v>
      </c>
      <c r="E2" s="145" t="s">
        <v>97</v>
      </c>
      <c r="F2" s="146" t="s">
        <v>98</v>
      </c>
      <c r="G2" s="146" t="s">
        <v>99</v>
      </c>
      <c r="H2" s="146" t="s">
        <v>100</v>
      </c>
      <c r="I2" s="146" t="s">
        <v>101</v>
      </c>
      <c r="J2" s="146" t="s">
        <v>102</v>
      </c>
      <c r="K2" s="146" t="s">
        <v>103</v>
      </c>
      <c r="L2" s="146" t="s">
        <v>104</v>
      </c>
      <c r="M2" s="146" t="s">
        <v>66</v>
      </c>
      <c r="N2" s="146" t="s">
        <v>67</v>
      </c>
      <c r="O2" s="146" t="s">
        <v>68</v>
      </c>
      <c r="P2" s="146" t="s">
        <v>69</v>
      </c>
      <c r="Q2" s="146" t="s">
        <v>70</v>
      </c>
      <c r="R2" s="146" t="s">
        <v>71</v>
      </c>
      <c r="S2" s="146" t="s">
        <v>72</v>
      </c>
      <c r="T2" s="146" t="s">
        <v>73</v>
      </c>
      <c r="U2" s="146" t="s">
        <v>74</v>
      </c>
      <c r="V2" s="146" t="s">
        <v>75</v>
      </c>
      <c r="W2" s="146" t="s">
        <v>76</v>
      </c>
      <c r="X2" s="146" t="s">
        <v>77</v>
      </c>
      <c r="Y2" s="146" t="s">
        <v>78</v>
      </c>
      <c r="Z2" s="146" t="s">
        <v>2</v>
      </c>
      <c r="AA2" s="146" t="s">
        <v>79</v>
      </c>
      <c r="AB2" s="146" t="s">
        <v>4</v>
      </c>
      <c r="AC2" s="146" t="s">
        <v>5</v>
      </c>
      <c r="AD2" s="147" t="s">
        <v>6</v>
      </c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</row>
    <row r="3" spans="1:43" ht="14.5" x14ac:dyDescent="0.35">
      <c r="A3" s="140"/>
      <c r="B3" s="141"/>
      <c r="C3" s="148"/>
      <c r="D3" s="149"/>
      <c r="E3" s="149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5"/>
      <c r="X3" s="165"/>
      <c r="Y3" s="165"/>
      <c r="Z3" s="165"/>
      <c r="AA3" s="165"/>
      <c r="AB3" s="165"/>
      <c r="AC3" s="165"/>
      <c r="AD3" s="166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</row>
    <row r="4" spans="1:43" ht="14.5" x14ac:dyDescent="0.35">
      <c r="A4" s="140"/>
      <c r="B4" s="175" t="s">
        <v>151</v>
      </c>
      <c r="C4" s="176">
        <v>199.99600000000001</v>
      </c>
      <c r="D4" s="177">
        <v>343.01900000000001</v>
      </c>
      <c r="E4" s="177">
        <v>426.17700000000002</v>
      </c>
      <c r="F4" s="177">
        <v>514.649</v>
      </c>
      <c r="G4" s="177">
        <v>591.56200000000001</v>
      </c>
      <c r="H4" s="177">
        <v>591.56200000000001</v>
      </c>
      <c r="I4" s="177">
        <v>738.88400000000001</v>
      </c>
      <c r="J4" s="177">
        <v>583.20000000000005</v>
      </c>
      <c r="K4" s="177">
        <v>864.09199999999998</v>
      </c>
      <c r="L4" s="177">
        <v>926.37800000000004</v>
      </c>
      <c r="M4" s="177">
        <v>1195.1279999999999</v>
      </c>
      <c r="N4" s="177">
        <v>1501.5619999999999</v>
      </c>
      <c r="O4" s="177">
        <v>1718.681</v>
      </c>
      <c r="P4" s="177">
        <v>1879.751</v>
      </c>
      <c r="Q4" s="177">
        <v>3879.4650000000001</v>
      </c>
      <c r="R4" s="177">
        <v>5113.1419999999998</v>
      </c>
      <c r="S4" s="177">
        <v>5681.7290000000003</v>
      </c>
      <c r="T4" s="177">
        <v>6022.6319999999996</v>
      </c>
      <c r="U4" s="177">
        <v>6299.6729999999998</v>
      </c>
      <c r="V4" s="177">
        <v>11215.556</v>
      </c>
      <c r="W4" s="177">
        <v>9957.1170000000002</v>
      </c>
      <c r="X4" s="177">
        <v>21826.911</v>
      </c>
      <c r="Y4" s="177">
        <v>30541.878000000001</v>
      </c>
      <c r="Z4" s="177">
        <v>34841.767999999996</v>
      </c>
      <c r="AA4" s="177">
        <v>38193.773000000001</v>
      </c>
      <c r="AB4" s="177">
        <v>44042.023999999998</v>
      </c>
      <c r="AC4" s="177">
        <v>47628.839</v>
      </c>
      <c r="AD4" s="178">
        <v>51626.955000000002</v>
      </c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</row>
    <row r="5" spans="1:43" x14ac:dyDescent="0.3">
      <c r="A5" s="140"/>
      <c r="B5" s="140"/>
      <c r="C5" s="150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2"/>
    </row>
    <row r="6" spans="1:43" x14ac:dyDescent="0.3">
      <c r="A6" s="327" t="s">
        <v>59</v>
      </c>
      <c r="B6" s="167" t="s">
        <v>142</v>
      </c>
      <c r="C6" s="170"/>
      <c r="D6" s="171"/>
      <c r="E6" s="171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68">
        <f>(U4/1)/'A, H and I'!C16</f>
        <v>8.9817150338399182E-3</v>
      </c>
      <c r="V6" s="168">
        <f>(V4/1)/'A, H and I'!D16</f>
        <v>1.4952539777735861E-2</v>
      </c>
      <c r="W6" s="168">
        <f>(W4/1)/'A, H and I'!E16</f>
        <v>1.2446542675237787E-2</v>
      </c>
      <c r="X6" s="168">
        <f>(X4/1)/'A, H and I'!F16</f>
        <v>2.5358126545149889E-2</v>
      </c>
      <c r="Y6" s="168">
        <f>(Y4/1)/'A, H and I'!G16</f>
        <v>3.2752114265669208E-2</v>
      </c>
      <c r="Z6" s="168">
        <f>(Z4/1)/'A, H and I'!H16</f>
        <v>3.3201948652851296E-2</v>
      </c>
      <c r="AA6" s="168">
        <f>(AA4/1)/'A, H and I'!I16</f>
        <v>3.5513279259633816E-2</v>
      </c>
      <c r="AB6" s="168">
        <f>(AB4/1)/'A, H and I'!J16</f>
        <v>3.9273861525700227E-2</v>
      </c>
      <c r="AC6" s="168">
        <f>(AC4/1)/'A, H and I'!K16</f>
        <v>4.3874038885234931E-2</v>
      </c>
      <c r="AD6" s="169">
        <f>(AD4/1)/'A, H and I'!L16</f>
        <v>4.5821369245142851E-2</v>
      </c>
    </row>
    <row r="7" spans="1:43" ht="24" x14ac:dyDescent="0.3">
      <c r="A7" s="328"/>
      <c r="B7" s="143" t="s">
        <v>143</v>
      </c>
      <c r="C7" s="173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53">
        <f>(D_NSFAS!U4/1)/'A, H and I'!C26</f>
        <v>5.0905151602987381E-3</v>
      </c>
      <c r="V7" s="153">
        <f>(D_NSFAS!V4/1)/'A, H and I'!D26</f>
        <v>8.6507447780003553E-3</v>
      </c>
      <c r="W7" s="153">
        <f>(D_NSFAS!W4/1)/'A, H and I'!E26</f>
        <v>7.2242502992428291E-3</v>
      </c>
      <c r="X7" s="153">
        <f>(D_NSFAS!X4/1)/'A, H and I'!F26</f>
        <v>1.4943064851342365E-2</v>
      </c>
      <c r="Y7" s="153">
        <f>(D_NSFAS!Y4/1)/'A, H and I'!G26</f>
        <v>1.9061021708857352E-2</v>
      </c>
      <c r="Z7" s="153">
        <f>(D_NSFAS!Z4/1)/'A, H and I'!H26</f>
        <v>2.012258535789177E-2</v>
      </c>
      <c r="AA7" s="153">
        <f>(D_NSFAS!AA4/1)/'A, H and I'!I26</f>
        <v>2.111620155908861E-2</v>
      </c>
      <c r="AB7" s="153">
        <f>(D_NSFAS!AB4/1)/'A, H and I'!J26</f>
        <v>2.3736430343720308E-2</v>
      </c>
      <c r="AC7" s="153">
        <f>(D_NSFAS!AC4/1)/'A, H and I'!K26</f>
        <v>2.5859616616769422E-2</v>
      </c>
      <c r="AD7" s="154">
        <f>(D_NSFAS!AD4/1)/'A, H and I'!L26</f>
        <v>2.6913280416368306E-2</v>
      </c>
    </row>
  </sheetData>
  <mergeCells count="1">
    <mergeCell ref="A6:A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H40"/>
  <sheetViews>
    <sheetView tabSelected="1" topLeftCell="B1" zoomScaleNormal="100" workbookViewId="0">
      <pane xSplit="13" ySplit="1" topLeftCell="O2" activePane="bottomRight" state="frozen"/>
      <selection activeCell="B1" sqref="B1"/>
      <selection pane="topRight" activeCell="O1" sqref="O1"/>
      <selection pane="bottomLeft" activeCell="B2" sqref="B2"/>
      <selection pane="bottomRight" activeCell="U16" sqref="U16"/>
    </sheetView>
  </sheetViews>
  <sheetFormatPr defaultColWidth="8.6328125" defaultRowHeight="12" x14ac:dyDescent="0.3"/>
  <cols>
    <col min="1" max="1" width="3" style="77" hidden="1" customWidth="1"/>
    <col min="2" max="2" width="8.6328125" style="77"/>
    <col min="3" max="3" width="35.08984375" style="77" customWidth="1"/>
    <col min="4" max="14" width="0" style="77" hidden="1" customWidth="1"/>
    <col min="15" max="34" width="10.81640625" style="77" customWidth="1"/>
    <col min="35" max="16384" width="8.6328125" style="77"/>
  </cols>
  <sheetData>
    <row r="1" spans="2:34" ht="14.5" x14ac:dyDescent="0.35">
      <c r="B1" s="75" t="s">
        <v>150</v>
      </c>
      <c r="C1" s="75"/>
    </row>
    <row r="2" spans="2:34" x14ac:dyDescent="0.3">
      <c r="B2" s="91"/>
      <c r="C2" s="180" t="s">
        <v>80</v>
      </c>
      <c r="D2" s="181" t="s">
        <v>92</v>
      </c>
      <c r="E2" s="182" t="s">
        <v>93</v>
      </c>
      <c r="F2" s="182" t="s">
        <v>94</v>
      </c>
      <c r="G2" s="182" t="s">
        <v>95</v>
      </c>
      <c r="H2" s="182" t="s">
        <v>96</v>
      </c>
      <c r="I2" s="182" t="s">
        <v>97</v>
      </c>
      <c r="J2" s="182" t="s">
        <v>98</v>
      </c>
      <c r="K2" s="182" t="s">
        <v>99</v>
      </c>
      <c r="L2" s="182" t="s">
        <v>100</v>
      </c>
      <c r="M2" s="182" t="s">
        <v>101</v>
      </c>
      <c r="N2" s="183" t="s">
        <v>102</v>
      </c>
      <c r="O2" s="203" t="s">
        <v>103</v>
      </c>
      <c r="P2" s="204" t="s">
        <v>104</v>
      </c>
      <c r="Q2" s="204" t="s">
        <v>66</v>
      </c>
      <c r="R2" s="204" t="s">
        <v>67</v>
      </c>
      <c r="S2" s="204" t="s">
        <v>68</v>
      </c>
      <c r="T2" s="204" t="s">
        <v>69</v>
      </c>
      <c r="U2" s="204" t="s">
        <v>70</v>
      </c>
      <c r="V2" s="204" t="s">
        <v>71</v>
      </c>
      <c r="W2" s="204" t="s">
        <v>72</v>
      </c>
      <c r="X2" s="204" t="s">
        <v>73</v>
      </c>
      <c r="Y2" s="204" t="s">
        <v>74</v>
      </c>
      <c r="Z2" s="204" t="s">
        <v>75</v>
      </c>
      <c r="AA2" s="204" t="s">
        <v>76</v>
      </c>
      <c r="AB2" s="204" t="s">
        <v>77</v>
      </c>
      <c r="AC2" s="204" t="s">
        <v>78</v>
      </c>
      <c r="AD2" s="205" t="s">
        <v>2</v>
      </c>
      <c r="AE2" s="204" t="s">
        <v>79</v>
      </c>
      <c r="AF2" s="204" t="s">
        <v>4</v>
      </c>
      <c r="AG2" s="204" t="s">
        <v>5</v>
      </c>
      <c r="AH2" s="206" t="s">
        <v>6</v>
      </c>
    </row>
    <row r="3" spans="2:34" ht="24" x14ac:dyDescent="0.3">
      <c r="B3" s="92"/>
      <c r="C3" s="207" t="s">
        <v>105</v>
      </c>
      <c r="D3" s="208"/>
      <c r="E3" s="209"/>
      <c r="F3" s="209"/>
      <c r="G3" s="209"/>
      <c r="H3" s="209"/>
      <c r="I3" s="209"/>
      <c r="J3" s="209"/>
      <c r="K3" s="209"/>
      <c r="L3" s="209"/>
      <c r="M3" s="209"/>
      <c r="N3" s="210"/>
      <c r="O3" s="211">
        <f t="array" ref="O3">[2]!TotalServices</f>
        <v>5775532350.568573</v>
      </c>
      <c r="P3" s="212">
        <f>[3]Allocations!$P$320</f>
        <v>5916923965.1815767</v>
      </c>
      <c r="Q3" s="212">
        <f>[4]Allocations!$P$320</f>
        <v>5916923965.1815767</v>
      </c>
      <c r="R3" s="212">
        <f>[5]Allocations!$P$320</f>
        <v>5987619772.4880724</v>
      </c>
      <c r="S3" s="212">
        <f>'[6]ES Formula Components'!$D$445+'[6]ES Formula Components'!$E$445+'[6]ES Formula Components'!$F$445+'[6]ES Formula Components'!$G$445</f>
        <v>18149403009.189278</v>
      </c>
      <c r="T3" s="212">
        <f>'[7]ES Formula Components'!$D$445+'[7]ES Formula Components'!$E$445+'[7]ES Formula Components'!$F$445+'[7]ES Formula Components'!$G$445</f>
        <v>23596775791.301208</v>
      </c>
      <c r="U3" s="212">
        <f>'[8]ES Formula Components'!$D$438+'[8]ES Formula Components'!$E$438+'[8]ES Formula Components'!$F$438+'[8]ES Formula Components'!$G$438</f>
        <v>32642006696.675964</v>
      </c>
      <c r="V3" s="212">
        <f>([9]Allocations!$BH$291+[9]Allocations!$BI$291+[9]Allocations!$BJ$291+[9]Allocations!$BK$291)</f>
        <v>30058523048.004639</v>
      </c>
      <c r="W3" s="212">
        <f>'[10]HISTORICAL Formula- 2013-14'!$AF$291</f>
        <v>27956872159.905155</v>
      </c>
      <c r="X3" s="212">
        <f>'[10]HISTORICAL Formula- 2014-15'!$AF$291</f>
        <v>30601046311.989376</v>
      </c>
      <c r="Y3" s="212">
        <f>'[10]Formula- 2015-16'!$AE$291</f>
        <v>33756932630.6068</v>
      </c>
      <c r="Z3" s="212">
        <f>'[11]2016-17 Calculations'!$O$269</f>
        <v>36953412367.546135</v>
      </c>
      <c r="AA3" s="212">
        <f>'[12]2017-18 Calculations - history'!$O$269</f>
        <v>41147101161.900597</v>
      </c>
      <c r="AB3" s="212">
        <f>'[12]2018-19 Calculations - history'!$O$269</f>
        <v>45080823213.165977</v>
      </c>
      <c r="AC3" s="212">
        <f>'[12]2019-20 Calculations - history'!$O$269</f>
        <v>49570884283.696869</v>
      </c>
      <c r="AD3" s="212">
        <f>'[12]2020-21 Calculations - history'!$O$269</f>
        <v>54087033474.692902</v>
      </c>
      <c r="AE3" s="212">
        <f>'[12]2021-22 Calculations - history'!$O$269</f>
        <v>56300785785.442551</v>
      </c>
      <c r="AF3" s="212">
        <f>'[12]2022-23 Calculations'!$O$269</f>
        <v>63869114370.152298</v>
      </c>
      <c r="AG3" s="212">
        <f>'[12]2023-24 Calculations'!$O$269</f>
        <v>69424047820.125656</v>
      </c>
      <c r="AH3" s="213">
        <f>'[12]2024-25 Calculations'!$O$269</f>
        <v>75501256005.177032</v>
      </c>
    </row>
    <row r="4" spans="2:34" ht="36" x14ac:dyDescent="0.3">
      <c r="B4" s="92"/>
      <c r="C4" s="207" t="s">
        <v>144</v>
      </c>
      <c r="D4" s="208"/>
      <c r="E4" s="209"/>
      <c r="F4" s="209"/>
      <c r="G4" s="209"/>
      <c r="H4" s="209"/>
      <c r="I4" s="209"/>
      <c r="J4" s="209"/>
      <c r="K4" s="209"/>
      <c r="L4" s="209"/>
      <c r="M4" s="209"/>
      <c r="N4" s="210"/>
      <c r="O4" s="211">
        <f>[2]Allocations!$X$322</f>
        <v>9343365000.0000019</v>
      </c>
      <c r="P4" s="212">
        <f>[3]Allocations!$V$320</f>
        <v>10833939999.999998</v>
      </c>
      <c r="Q4" s="212">
        <f>[4]Allocations!$V$320</f>
        <v>12442802000.300913</v>
      </c>
      <c r="R4" s="212">
        <f>[5]Allocations!$V$320</f>
        <v>15628720999.879446</v>
      </c>
      <c r="S4" s="212">
        <f>'[6]ES Formula Components'!$D$445+'[6]ES Formula Components'!$E$445+'[6]ES Formula Components'!$F$445+'[6]ES Formula Components'!$G$445+'[6]ES Formula Components'!$H$445+'[6]ES Formula Components'!$I$445</f>
        <v>20282738000.382652</v>
      </c>
      <c r="T4" s="212">
        <f>'[7]ES Formula Components'!$D$445+'[7]ES Formula Components'!$E$445+'[7]ES Formula Components'!$F$445+'[7]ES Formula Components'!$G$445+'[7]ES Formula Components'!$H$445+'[7]ES Formula Components'!$I$445</f>
        <v>26387711547.468254</v>
      </c>
      <c r="U4" s="212">
        <f>'[8]ES Formula Components'!$D$438+'[8]ES Formula Components'!$E$438+'[8]ES Formula Components'!$F$438+'[8]ES Formula Components'!$G$438+'[8]ES Formula Components'!$H$438+'[8]ES Formula Components'!$I$438</f>
        <v>36402041114.007172</v>
      </c>
      <c r="V4" s="212">
        <f>[12]Inputs!AQ6*1000</f>
        <v>33481379000</v>
      </c>
      <c r="W4" s="212">
        <f>[12]Inputs!AR6*1000</f>
        <v>35885746000</v>
      </c>
      <c r="X4" s="212">
        <f>[12]Inputs!AS6*1000</f>
        <v>39409600000</v>
      </c>
      <c r="Y4" s="212">
        <f>[12]Inputs!AT6*1000</f>
        <v>45052100000</v>
      </c>
      <c r="Z4" s="212">
        <f>[13]Inputs!AE5*1000</f>
        <v>47119063000</v>
      </c>
      <c r="AA4" s="212">
        <f>[12]Inputs!AV6*1000</f>
        <v>51326396324</v>
      </c>
      <c r="AB4" s="212">
        <f>[12]Inputs!AW6*1000</f>
        <v>56722357545.115997</v>
      </c>
      <c r="AC4" s="212">
        <f>[12]Inputs!AX6*1000</f>
        <v>62647638000</v>
      </c>
      <c r="AD4" s="212">
        <f>[12]Inputs!AY6*1000</f>
        <v>68062864773.754997</v>
      </c>
      <c r="AE4" s="212">
        <f>[12]Inputs!AZ6*1000</f>
        <v>71027582458.200012</v>
      </c>
      <c r="AF4" s="212">
        <f>[12]Inputs!BA6*1000</f>
        <v>80023079952.193604</v>
      </c>
      <c r="AG4" s="212">
        <f>[12]Inputs!BB6*1000</f>
        <v>86490997000</v>
      </c>
      <c r="AH4" s="213">
        <f>[12]Inputs!BC6*1000</f>
        <v>93555738130.252304</v>
      </c>
    </row>
    <row r="5" spans="2:34" x14ac:dyDescent="0.3">
      <c r="B5" s="92"/>
      <c r="C5" s="214" t="s">
        <v>106</v>
      </c>
      <c r="D5" s="208"/>
      <c r="E5" s="209"/>
      <c r="F5" s="209"/>
      <c r="G5" s="209"/>
      <c r="H5" s="209"/>
      <c r="I5" s="209"/>
      <c r="J5" s="209"/>
      <c r="K5" s="209"/>
      <c r="L5" s="209"/>
      <c r="M5" s="209"/>
      <c r="N5" s="210"/>
      <c r="O5" s="211">
        <f>'[14]19'!D12*1000000</f>
        <v>18515051000.000004</v>
      </c>
      <c r="P5" s="212">
        <f>'[15]20'!C4*1000000</f>
        <v>26501353000</v>
      </c>
      <c r="Q5" s="212">
        <f>'[15]20'!D4*1000000</f>
        <v>37320603000</v>
      </c>
      <c r="R5" s="212">
        <f>'[15]20'!E4*1000000</f>
        <v>44037012000</v>
      </c>
      <c r="S5" s="212">
        <f>'[15]20'!F4*1000000</f>
        <v>50145808000.000008</v>
      </c>
      <c r="T5" s="212">
        <f>'[16]21'!C4*1000000</f>
        <v>60904686999.999992</v>
      </c>
      <c r="U5" s="212">
        <f>'[16]21'!D4*1000000</f>
        <v>68251202920.000008</v>
      </c>
      <c r="V5" s="212">
        <f>'[16]21'!E4*1000000</f>
        <v>76430369810.683014</v>
      </c>
      <c r="W5" s="212">
        <f>'[16]21'!F4*1000000</f>
        <v>83669877278.160629</v>
      </c>
      <c r="X5" s="212">
        <f>'[17]20'!C4*1000000</f>
        <v>87569945000</v>
      </c>
      <c r="Y5" s="212">
        <f>'[17]20'!D4*1000000</f>
        <v>98338074452</v>
      </c>
      <c r="Z5" s="212">
        <f>'[17]20'!E4*1000000</f>
        <v>102867052999.99998</v>
      </c>
      <c r="AA5" s="212">
        <f>'[17]20'!F4*1000000</f>
        <v>112578156999.99998</v>
      </c>
      <c r="AB5" s="212">
        <f>'[18]24'!C4*1000000</f>
        <v>118465070000</v>
      </c>
      <c r="AC5" s="212">
        <f>'[18]24'!D4*1000000</f>
        <v>122985521288</v>
      </c>
      <c r="AD5" s="212">
        <f>'[18]24'!E4*1000000</f>
        <v>137097974995</v>
      </c>
      <c r="AE5" s="212">
        <f>'[18]24'!F4*1000000</f>
        <v>137585449994.58807</v>
      </c>
      <c r="AF5" s="212">
        <f>'[18]24'!G4*1000000</f>
        <v>150629561994.26642</v>
      </c>
      <c r="AG5" s="212">
        <f>'[18]24'!H4*1000000</f>
        <v>160513763000.00003</v>
      </c>
      <c r="AH5" s="213">
        <f>'[18]24'!I4*1000000</f>
        <v>170147465000.00003</v>
      </c>
    </row>
    <row r="6" spans="2:34" x14ac:dyDescent="0.3">
      <c r="B6" s="92"/>
      <c r="C6" s="214" t="s">
        <v>21</v>
      </c>
      <c r="D6" s="208"/>
      <c r="E6" s="209"/>
      <c r="F6" s="209"/>
      <c r="G6" s="209"/>
      <c r="H6" s="209"/>
      <c r="I6" s="209"/>
      <c r="J6" s="209"/>
      <c r="K6" s="209"/>
      <c r="L6" s="209"/>
      <c r="M6" s="209"/>
      <c r="N6" s="210"/>
      <c r="O6" s="313"/>
      <c r="P6" s="314"/>
      <c r="Q6" s="314"/>
      <c r="R6" s="314"/>
      <c r="S6" s="314"/>
      <c r="T6" s="314"/>
      <c r="U6" s="314"/>
      <c r="V6" s="314"/>
      <c r="W6" s="314"/>
      <c r="X6" s="314"/>
      <c r="Y6" s="212">
        <f>'A, H and I'!C16*1000000</f>
        <v>701388651974.04565</v>
      </c>
      <c r="Z6" s="212">
        <f>'A, H and I'!D16*1000000</f>
        <v>750076988037.83276</v>
      </c>
      <c r="AA6" s="212">
        <f>'A, H and I'!E16*1000000</f>
        <v>799990588535.84595</v>
      </c>
      <c r="AB6" s="212">
        <f>'A, H and I'!F16*1000000</f>
        <v>860746197521.23267</v>
      </c>
      <c r="AC6" s="212">
        <f>'A, H and I'!G16*1000000</f>
        <v>932516226349.82129</v>
      </c>
      <c r="AD6" s="212">
        <f>'A, H and I'!H16*1000000</f>
        <v>1049389250139.9275</v>
      </c>
      <c r="AE6" s="212">
        <f>'A, H and I'!I16*1000000</f>
        <v>1075478632113.0576</v>
      </c>
      <c r="AF6" s="212">
        <f>'A, H and I'!J16*1000000</f>
        <v>1121408038045.3438</v>
      </c>
      <c r="AG6" s="212">
        <f>'A, H and I'!K16*1000000</f>
        <v>1085581364519.1595</v>
      </c>
      <c r="AH6" s="213">
        <f>'A, H and I'!L16*1000000</f>
        <v>1126700398754.9446</v>
      </c>
    </row>
    <row r="7" spans="2:34" x14ac:dyDescent="0.3">
      <c r="B7" s="92"/>
      <c r="C7" s="215" t="s">
        <v>52</v>
      </c>
      <c r="D7" s="216"/>
      <c r="E7" s="217"/>
      <c r="F7" s="217"/>
      <c r="G7" s="217"/>
      <c r="H7" s="217"/>
      <c r="I7" s="217"/>
      <c r="J7" s="217"/>
      <c r="K7" s="217"/>
      <c r="L7" s="217"/>
      <c r="M7" s="217"/>
      <c r="N7" s="218"/>
      <c r="O7" s="184"/>
      <c r="P7" s="185"/>
      <c r="Q7" s="185"/>
      <c r="R7" s="185"/>
      <c r="S7" s="185"/>
      <c r="T7" s="185"/>
      <c r="U7" s="185"/>
      <c r="V7" s="185"/>
      <c r="W7" s="185"/>
      <c r="X7" s="185"/>
      <c r="Y7" s="219">
        <f>'A, H and I'!C26*1000000</f>
        <v>1237531527090.1387</v>
      </c>
      <c r="Z7" s="219">
        <f>'A, H and I'!D26*1000000</f>
        <v>1296484440105.3418</v>
      </c>
      <c r="AA7" s="219">
        <f>'A, H and I'!E26*1000000</f>
        <v>1378290699734.4211</v>
      </c>
      <c r="AB7" s="219">
        <f>'A, H and I'!F26*1000000</f>
        <v>1460671637119.9609</v>
      </c>
      <c r="AC7" s="219">
        <f>'A, H and I'!G26*1000000</f>
        <v>1602321138210.9531</v>
      </c>
      <c r="AD7" s="219">
        <f>'A, H and I'!H26*1000000</f>
        <v>1731475721450.2554</v>
      </c>
      <c r="AE7" s="219">
        <f>'A, H and I'!I26*1000000</f>
        <v>1808742585314.1208</v>
      </c>
      <c r="AF7" s="219">
        <f>'A, H and I'!J26*1000000</f>
        <v>1855461135572.6335</v>
      </c>
      <c r="AG7" s="219">
        <f>'A, H and I'!K26*1000000</f>
        <v>1841823090645.2686</v>
      </c>
      <c r="AH7" s="220">
        <f>'A, H and I'!L26*1000000</f>
        <v>1918270615892.7085</v>
      </c>
    </row>
    <row r="8" spans="2:34" x14ac:dyDescent="0.3">
      <c r="B8" s="329" t="s">
        <v>107</v>
      </c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86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8"/>
      <c r="AA8" s="188"/>
      <c r="AB8" s="188"/>
      <c r="AC8" s="188"/>
      <c r="AD8" s="188"/>
      <c r="AE8" s="188"/>
      <c r="AF8" s="188"/>
      <c r="AG8" s="188"/>
      <c r="AH8" s="189"/>
    </row>
    <row r="9" spans="2:34" x14ac:dyDescent="0.3">
      <c r="B9" s="330"/>
      <c r="C9" s="291" t="s">
        <v>108</v>
      </c>
      <c r="D9" s="292"/>
      <c r="E9" s="293"/>
      <c r="F9" s="293"/>
      <c r="G9" s="293"/>
      <c r="H9" s="293"/>
      <c r="I9" s="293"/>
      <c r="J9" s="293"/>
      <c r="K9" s="293"/>
      <c r="L9" s="293"/>
      <c r="M9" s="293"/>
      <c r="N9" s="294"/>
      <c r="O9" s="295">
        <f>[2]Allocations!$F$322+[2]Allocations!$K$322</f>
        <v>1920242971.7058003</v>
      </c>
      <c r="P9" s="296">
        <f>[3]Allocations!$F$320+[3]Allocations!$K$320</f>
        <v>1920242971.7058024</v>
      </c>
      <c r="Q9" s="296">
        <f>[4]Allocations!$F$320+[4]Allocations!$K$320</f>
        <v>1920242971.7058024</v>
      </c>
      <c r="R9" s="296">
        <f>[5]Allocations!$F$320+[5]Allocations!$K$320</f>
        <v>1920242971.7058024</v>
      </c>
      <c r="S9" s="296">
        <f>'[6]ES Formula Components'!$G$445</f>
        <v>6549232832.9760904</v>
      </c>
      <c r="T9" s="296">
        <f>'[7]ES Formula Components'!$G$445</f>
        <v>8497219228.7381802</v>
      </c>
      <c r="U9" s="296">
        <f>'[8]ES Formula Components'!$G$438</f>
        <v>11673318226.884745</v>
      </c>
      <c r="V9" s="296">
        <f>[9]Allocations!$BK$291</f>
        <v>10537963883.058598</v>
      </c>
      <c r="W9" s="296">
        <f>'[10]HISTORICAL Formula- 2013-14'!$W$291</f>
        <v>5719266696.8933868</v>
      </c>
      <c r="X9" s="296">
        <f>'[10]HISTORICAL Formula- 2014-15'!$W$291</f>
        <v>6289286430.9863253</v>
      </c>
      <c r="Y9" s="296">
        <f>'[10]Formula- 2015-16'!$V$291</f>
        <v>7121529680.3433552</v>
      </c>
      <c r="Z9" s="296">
        <f>'[11]2016-17 Calculations'!$N$269</f>
        <v>7829630088.0377474</v>
      </c>
      <c r="AA9" s="296">
        <f>'[12]2017-18 Calculations - history'!$N$269</f>
        <v>8725347868.0594959</v>
      </c>
      <c r="AB9" s="296">
        <f>'[12]2018-19 Calculations - history'!$N$269</f>
        <v>9603894745.1812153</v>
      </c>
      <c r="AC9" s="296">
        <f>'[12]2019-20 Calculations - history'!$N$269</f>
        <v>10612123113.178844</v>
      </c>
      <c r="AD9" s="296">
        <f>'[12]2020-21 Calculations - history'!$N$269</f>
        <v>11645119422.765564</v>
      </c>
      <c r="AE9" s="296">
        <f>'[12]2021-22 Calculations - history'!$N$269</f>
        <v>12214863797.992384</v>
      </c>
      <c r="AF9" s="296">
        <f>'[12]2022-23 Calculations'!$N$269</f>
        <v>13997462000.57534</v>
      </c>
      <c r="AG9" s="296">
        <f>'[12]2023-24 Calculations'!$N$269</f>
        <v>15411072677.816765</v>
      </c>
      <c r="AH9" s="297">
        <f>'[12]2024-25 Calculations'!$N$269</f>
        <v>17002070059.949108</v>
      </c>
    </row>
    <row r="10" spans="2:34" x14ac:dyDescent="0.3">
      <c r="B10" s="330"/>
      <c r="C10" s="221" t="s">
        <v>109</v>
      </c>
      <c r="D10" s="222" t="e">
        <f>D9/D3</f>
        <v>#DIV/0!</v>
      </c>
      <c r="E10" s="223" t="e">
        <f t="shared" ref="E10:AH10" si="0">E9/E3</f>
        <v>#DIV/0!</v>
      </c>
      <c r="F10" s="223" t="e">
        <f t="shared" si="0"/>
        <v>#DIV/0!</v>
      </c>
      <c r="G10" s="223" t="e">
        <f t="shared" si="0"/>
        <v>#DIV/0!</v>
      </c>
      <c r="H10" s="223" t="e">
        <f t="shared" si="0"/>
        <v>#DIV/0!</v>
      </c>
      <c r="I10" s="223" t="e">
        <f t="shared" si="0"/>
        <v>#DIV/0!</v>
      </c>
      <c r="J10" s="223" t="e">
        <f t="shared" si="0"/>
        <v>#DIV/0!</v>
      </c>
      <c r="K10" s="223" t="e">
        <f t="shared" si="0"/>
        <v>#DIV/0!</v>
      </c>
      <c r="L10" s="223" t="e">
        <f t="shared" si="0"/>
        <v>#DIV/0!</v>
      </c>
      <c r="M10" s="223" t="e">
        <f t="shared" si="0"/>
        <v>#DIV/0!</v>
      </c>
      <c r="N10" s="224" t="e">
        <f t="shared" si="0"/>
        <v>#DIV/0!</v>
      </c>
      <c r="O10" s="225">
        <f t="shared" si="0"/>
        <v>0.33247895694268975</v>
      </c>
      <c r="P10" s="226">
        <f t="shared" si="0"/>
        <v>0.32453399486043161</v>
      </c>
      <c r="Q10" s="226">
        <f t="shared" si="0"/>
        <v>0.32453399486043161</v>
      </c>
      <c r="R10" s="226">
        <f t="shared" si="0"/>
        <v>0.32070222303175278</v>
      </c>
      <c r="S10" s="226">
        <f t="shared" si="0"/>
        <v>0.36085114368004995</v>
      </c>
      <c r="T10" s="226">
        <f t="shared" si="0"/>
        <v>0.36010085885846416</v>
      </c>
      <c r="U10" s="226">
        <f t="shared" si="0"/>
        <v>0.35761643992535158</v>
      </c>
      <c r="V10" s="226">
        <f t="shared" si="0"/>
        <v>0.3505815593876338</v>
      </c>
      <c r="W10" s="226">
        <f t="shared" si="0"/>
        <v>0.20457462709636648</v>
      </c>
      <c r="X10" s="226">
        <f t="shared" si="0"/>
        <v>0.20552520874170915</v>
      </c>
      <c r="Y10" s="226">
        <f t="shared" si="0"/>
        <v>0.21096495224469516</v>
      </c>
      <c r="Z10" s="226">
        <f t="shared" si="0"/>
        <v>0.21187840544095518</v>
      </c>
      <c r="AA10" s="226">
        <f t="shared" si="0"/>
        <v>0.21205255344059504</v>
      </c>
      <c r="AB10" s="226">
        <f t="shared" si="0"/>
        <v>0.21303725310802157</v>
      </c>
      <c r="AC10" s="226">
        <f t="shared" si="0"/>
        <v>0.21407976207253207</v>
      </c>
      <c r="AD10" s="226">
        <f t="shared" si="0"/>
        <v>0.21530334859674394</v>
      </c>
      <c r="AE10" s="226">
        <f t="shared" si="0"/>
        <v>0.21695725250695752</v>
      </c>
      <c r="AF10" s="226">
        <f t="shared" si="0"/>
        <v>0.21915854225648571</v>
      </c>
      <c r="AG10" s="226">
        <f t="shared" si="0"/>
        <v>0.22198464597953302</v>
      </c>
      <c r="AH10" s="227">
        <f t="shared" si="0"/>
        <v>0.22518923471661578</v>
      </c>
    </row>
    <row r="11" spans="2:34" x14ac:dyDescent="0.3">
      <c r="B11" s="330"/>
      <c r="C11" s="221" t="s">
        <v>110</v>
      </c>
      <c r="D11" s="222" t="e">
        <f>D9/D4</f>
        <v>#DIV/0!</v>
      </c>
      <c r="E11" s="223" t="e">
        <f t="shared" ref="E11:AH11" si="1">E9/E4</f>
        <v>#DIV/0!</v>
      </c>
      <c r="F11" s="223" t="e">
        <f t="shared" si="1"/>
        <v>#DIV/0!</v>
      </c>
      <c r="G11" s="223" t="e">
        <f t="shared" si="1"/>
        <v>#DIV/0!</v>
      </c>
      <c r="H11" s="223" t="e">
        <f t="shared" si="1"/>
        <v>#DIV/0!</v>
      </c>
      <c r="I11" s="223" t="e">
        <f t="shared" si="1"/>
        <v>#DIV/0!</v>
      </c>
      <c r="J11" s="223" t="e">
        <f t="shared" si="1"/>
        <v>#DIV/0!</v>
      </c>
      <c r="K11" s="223" t="e">
        <f t="shared" si="1"/>
        <v>#DIV/0!</v>
      </c>
      <c r="L11" s="223" t="e">
        <f t="shared" si="1"/>
        <v>#DIV/0!</v>
      </c>
      <c r="M11" s="223" t="e">
        <f t="shared" si="1"/>
        <v>#DIV/0!</v>
      </c>
      <c r="N11" s="224" t="e">
        <f t="shared" si="1"/>
        <v>#DIV/0!</v>
      </c>
      <c r="O11" s="225">
        <f t="shared" si="1"/>
        <v>0.20551942171859924</v>
      </c>
      <c r="P11" s="226">
        <f t="shared" si="1"/>
        <v>0.17724327176500912</v>
      </c>
      <c r="Q11" s="226">
        <f t="shared" si="1"/>
        <v>0.15432560701836803</v>
      </c>
      <c r="R11" s="226">
        <f t="shared" si="1"/>
        <v>0.12286629032027729</v>
      </c>
      <c r="S11" s="226">
        <f t="shared" si="1"/>
        <v>0.32289688072944261</v>
      </c>
      <c r="T11" s="226">
        <f t="shared" si="1"/>
        <v>0.32201425324256427</v>
      </c>
      <c r="U11" s="226">
        <f t="shared" si="1"/>
        <v>0.32067757382958834</v>
      </c>
      <c r="V11" s="226">
        <f t="shared" si="1"/>
        <v>0.31474103510069279</v>
      </c>
      <c r="W11" s="226">
        <f t="shared" si="1"/>
        <v>0.15937432920841013</v>
      </c>
      <c r="X11" s="226">
        <f t="shared" si="1"/>
        <v>0.15958767485552569</v>
      </c>
      <c r="Y11" s="226">
        <f t="shared" si="1"/>
        <v>0.15807320147880688</v>
      </c>
      <c r="Z11" s="226">
        <f t="shared" si="1"/>
        <v>0.16616693095186863</v>
      </c>
      <c r="AA11" s="226">
        <f t="shared" si="1"/>
        <v>0.16999728196346334</v>
      </c>
      <c r="AB11" s="226">
        <f t="shared" si="1"/>
        <v>0.16931409695978242</v>
      </c>
      <c r="AC11" s="226">
        <f t="shared" si="1"/>
        <v>0.16939382635908548</v>
      </c>
      <c r="AD11" s="226">
        <f t="shared" si="1"/>
        <v>0.17109358328472701</v>
      </c>
      <c r="AE11" s="226">
        <f t="shared" si="1"/>
        <v>0.1719735259915523</v>
      </c>
      <c r="AF11" s="226">
        <f t="shared" si="1"/>
        <v>0.1749178113231524</v>
      </c>
      <c r="AG11" s="226">
        <f t="shared" si="1"/>
        <v>0.17818123518470674</v>
      </c>
      <c r="AH11" s="227">
        <f t="shared" si="1"/>
        <v>0.18173198565627369</v>
      </c>
    </row>
    <row r="12" spans="2:34" x14ac:dyDescent="0.3">
      <c r="B12" s="330"/>
      <c r="C12" s="221" t="s">
        <v>111</v>
      </c>
      <c r="D12" s="222" t="e">
        <f>D9/D5</f>
        <v>#DIV/0!</v>
      </c>
      <c r="E12" s="223" t="e">
        <f t="shared" ref="E12:AH12" si="2">E9/E5</f>
        <v>#DIV/0!</v>
      </c>
      <c r="F12" s="223" t="e">
        <f t="shared" si="2"/>
        <v>#DIV/0!</v>
      </c>
      <c r="G12" s="223" t="e">
        <f t="shared" si="2"/>
        <v>#DIV/0!</v>
      </c>
      <c r="H12" s="223" t="e">
        <f t="shared" si="2"/>
        <v>#DIV/0!</v>
      </c>
      <c r="I12" s="223" t="e">
        <f t="shared" si="2"/>
        <v>#DIV/0!</v>
      </c>
      <c r="J12" s="223" t="e">
        <f t="shared" si="2"/>
        <v>#DIV/0!</v>
      </c>
      <c r="K12" s="223" t="e">
        <f t="shared" si="2"/>
        <v>#DIV/0!</v>
      </c>
      <c r="L12" s="223" t="e">
        <f t="shared" si="2"/>
        <v>#DIV/0!</v>
      </c>
      <c r="M12" s="223" t="e">
        <f t="shared" si="2"/>
        <v>#DIV/0!</v>
      </c>
      <c r="N12" s="224" t="e">
        <f t="shared" si="2"/>
        <v>#DIV/0!</v>
      </c>
      <c r="O12" s="225">
        <f t="shared" si="2"/>
        <v>0.10371254023042117</v>
      </c>
      <c r="P12" s="226">
        <f t="shared" si="2"/>
        <v>7.2458299457608913E-2</v>
      </c>
      <c r="Q12" s="226">
        <f t="shared" si="2"/>
        <v>5.1452624484813456E-2</v>
      </c>
      <c r="R12" s="226">
        <f t="shared" si="2"/>
        <v>4.3605205814277376E-2</v>
      </c>
      <c r="S12" s="226">
        <f t="shared" si="2"/>
        <v>0.13060379509641343</v>
      </c>
      <c r="T12" s="226">
        <f t="shared" si="2"/>
        <v>0.13951667182425848</v>
      </c>
      <c r="U12" s="226">
        <f t="shared" si="2"/>
        <v>0.17103461517839491</v>
      </c>
      <c r="V12" s="226">
        <f t="shared" si="2"/>
        <v>0.13787665700376683</v>
      </c>
      <c r="W12" s="226">
        <f t="shared" si="2"/>
        <v>6.8355146235958689E-2</v>
      </c>
      <c r="X12" s="226">
        <f t="shared" si="2"/>
        <v>7.1820148236776044E-2</v>
      </c>
      <c r="Y12" s="226">
        <f t="shared" si="2"/>
        <v>7.2418844074676886E-2</v>
      </c>
      <c r="Z12" s="226">
        <f t="shared" si="2"/>
        <v>7.6114070148755486E-2</v>
      </c>
      <c r="AA12" s="226">
        <f t="shared" si="2"/>
        <v>7.7504802890488764E-2</v>
      </c>
      <c r="AB12" s="226">
        <f t="shared" si="2"/>
        <v>8.1069421941684705E-2</v>
      </c>
      <c r="AC12" s="226">
        <f t="shared" si="2"/>
        <v>8.6287580863506866E-2</v>
      </c>
      <c r="AD12" s="226">
        <f t="shared" si="2"/>
        <v>8.4940127111215638E-2</v>
      </c>
      <c r="AE12" s="226">
        <f t="shared" si="2"/>
        <v>8.8780200220828984E-2</v>
      </c>
      <c r="AF12" s="226">
        <f t="shared" si="2"/>
        <v>9.2926393831697804E-2</v>
      </c>
      <c r="AG12" s="226">
        <f t="shared" si="2"/>
        <v>9.6010911399645904E-2</v>
      </c>
      <c r="AH12" s="227">
        <f t="shared" si="2"/>
        <v>9.9925497332264718E-2</v>
      </c>
    </row>
    <row r="13" spans="2:34" x14ac:dyDescent="0.3">
      <c r="B13" s="330"/>
      <c r="C13" s="221" t="s">
        <v>134</v>
      </c>
      <c r="D13" s="222"/>
      <c r="E13" s="223"/>
      <c r="F13" s="223"/>
      <c r="G13" s="223"/>
      <c r="H13" s="223"/>
      <c r="I13" s="223"/>
      <c r="J13" s="223"/>
      <c r="K13" s="223"/>
      <c r="L13" s="223"/>
      <c r="M13" s="223"/>
      <c r="N13" s="224"/>
      <c r="O13" s="315"/>
      <c r="P13" s="316"/>
      <c r="Q13" s="316"/>
      <c r="R13" s="316"/>
      <c r="S13" s="316"/>
      <c r="T13" s="316"/>
      <c r="U13" s="316"/>
      <c r="V13" s="316"/>
      <c r="W13" s="316"/>
      <c r="X13" s="316"/>
      <c r="Y13" s="226">
        <f>Y9/Y6</f>
        <v>1.0153471488738717E-2</v>
      </c>
      <c r="Z13" s="226">
        <f t="shared" ref="Z13:AH13" si="3">Z9/Z6</f>
        <v>1.0438435271184232E-2</v>
      </c>
      <c r="AA13" s="226">
        <f t="shared" si="3"/>
        <v>1.0906813146425573E-2</v>
      </c>
      <c r="AB13" s="226">
        <f t="shared" si="3"/>
        <v>1.1157638305970337E-2</v>
      </c>
      <c r="AC13" s="226">
        <f t="shared" si="3"/>
        <v>1.1380094858743878E-2</v>
      </c>
      <c r="AD13" s="226">
        <f t="shared" si="3"/>
        <v>1.1097044705968527E-2</v>
      </c>
      <c r="AE13" s="226">
        <f t="shared" si="3"/>
        <v>1.1357607146497282E-2</v>
      </c>
      <c r="AF13" s="226">
        <f t="shared" si="3"/>
        <v>1.2482041795396297E-2</v>
      </c>
      <c r="AG13" s="226">
        <f t="shared" si="3"/>
        <v>1.4196147042965174E-2</v>
      </c>
      <c r="AH13" s="227">
        <f t="shared" si="3"/>
        <v>1.5090142933061152E-2</v>
      </c>
    </row>
    <row r="14" spans="2:34" x14ac:dyDescent="0.3">
      <c r="B14" s="331"/>
      <c r="C14" s="228" t="s">
        <v>130</v>
      </c>
      <c r="D14" s="229" t="e">
        <f t="shared" ref="D14:N14" si="4">D9/D7</f>
        <v>#DIV/0!</v>
      </c>
      <c r="E14" s="230" t="e">
        <f t="shared" si="4"/>
        <v>#DIV/0!</v>
      </c>
      <c r="F14" s="230" t="e">
        <f t="shared" si="4"/>
        <v>#DIV/0!</v>
      </c>
      <c r="G14" s="230" t="e">
        <f t="shared" si="4"/>
        <v>#DIV/0!</v>
      </c>
      <c r="H14" s="230" t="e">
        <f t="shared" si="4"/>
        <v>#DIV/0!</v>
      </c>
      <c r="I14" s="230" t="e">
        <f t="shared" si="4"/>
        <v>#DIV/0!</v>
      </c>
      <c r="J14" s="230" t="e">
        <f t="shared" si="4"/>
        <v>#DIV/0!</v>
      </c>
      <c r="K14" s="230" t="e">
        <f t="shared" si="4"/>
        <v>#DIV/0!</v>
      </c>
      <c r="L14" s="230" t="e">
        <f t="shared" si="4"/>
        <v>#DIV/0!</v>
      </c>
      <c r="M14" s="230" t="e">
        <f t="shared" si="4"/>
        <v>#DIV/0!</v>
      </c>
      <c r="N14" s="231" t="e">
        <f t="shared" si="4"/>
        <v>#DIV/0!</v>
      </c>
      <c r="O14" s="190"/>
      <c r="P14" s="191"/>
      <c r="Q14" s="191"/>
      <c r="R14" s="191"/>
      <c r="S14" s="191"/>
      <c r="T14" s="191"/>
      <c r="U14" s="191"/>
      <c r="V14" s="191"/>
      <c r="W14" s="191"/>
      <c r="X14" s="191"/>
      <c r="Y14" s="232">
        <f t="shared" ref="Y14:AH14" si="5">Y9/Y7</f>
        <v>5.7546248515288455E-3</v>
      </c>
      <c r="Z14" s="232">
        <f t="shared" si="5"/>
        <v>6.0391238381554161E-3</v>
      </c>
      <c r="AA14" s="232">
        <f t="shared" si="5"/>
        <v>6.330557022361653E-3</v>
      </c>
      <c r="AB14" s="232">
        <f t="shared" si="5"/>
        <v>6.5749854389706847E-3</v>
      </c>
      <c r="AC14" s="232">
        <f t="shared" si="5"/>
        <v>6.6229689293293894E-3</v>
      </c>
      <c r="AD14" s="232">
        <f t="shared" si="5"/>
        <v>6.7255458904221911E-3</v>
      </c>
      <c r="AE14" s="232">
        <f t="shared" si="5"/>
        <v>6.7532350358583786E-3</v>
      </c>
      <c r="AF14" s="232">
        <f t="shared" si="5"/>
        <v>7.5439262683642443E-3</v>
      </c>
      <c r="AG14" s="232">
        <f t="shared" si="5"/>
        <v>8.3672925787989846E-3</v>
      </c>
      <c r="AH14" s="233">
        <f t="shared" si="5"/>
        <v>8.863228117601556E-3</v>
      </c>
    </row>
    <row r="15" spans="2:34" x14ac:dyDescent="0.3">
      <c r="B15" s="331" t="s">
        <v>112</v>
      </c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192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4"/>
    </row>
    <row r="16" spans="2:34" x14ac:dyDescent="0.3">
      <c r="B16" s="338"/>
      <c r="C16" s="234" t="s">
        <v>113</v>
      </c>
      <c r="D16" s="235"/>
      <c r="E16" s="236"/>
      <c r="F16" s="236"/>
      <c r="G16" s="236"/>
      <c r="H16" s="236"/>
      <c r="I16" s="236"/>
      <c r="J16" s="236"/>
      <c r="K16" s="236"/>
      <c r="L16" s="236"/>
      <c r="M16" s="236"/>
      <c r="N16" s="237"/>
      <c r="O16" s="238">
        <f>[2]Allocations!$D$322+[2]Allocations!$I$322</f>
        <v>2668534011.3949089</v>
      </c>
      <c r="P16" s="239">
        <f>[3]Allocations!$D$320+[3]Allocations!$I$320</f>
        <v>2668534011.3949108</v>
      </c>
      <c r="Q16" s="239">
        <f>[4]Allocations!$D$320+[4]Allocations!$I$320</f>
        <v>2668534011.3949108</v>
      </c>
      <c r="R16" s="239">
        <f>[5]Allocations!$D$320+[5]Allocations!$I$320</f>
        <v>2668534011.3949108</v>
      </c>
      <c r="S16" s="239">
        <f>'[6]ES Formula Components'!$D$445</f>
        <v>4437472079.9435101</v>
      </c>
      <c r="T16" s="239">
        <f>'[7]ES Formula Components'!$D$445</f>
        <v>5765493332.4775906</v>
      </c>
      <c r="U16" s="239">
        <f>'[8]ES Formula Components'!$D$438</f>
        <v>7923937383.7368412</v>
      </c>
      <c r="V16" s="239">
        <f>[9]Allocations!$BH$291</f>
        <v>7201123942.9197111</v>
      </c>
      <c r="W16" s="239">
        <f>'[10]HISTORICAL Formula- 2013-14'!$X$291</f>
        <v>8782964670.7659702</v>
      </c>
      <c r="X16" s="239">
        <f>'[10]HISTORICAL Formula- 2014-15'!$X$291</f>
        <v>9720626029.3113461</v>
      </c>
      <c r="Y16" s="239">
        <f>'[10]Formula- 2015-16'!$W$291</f>
        <v>10731824664.789782</v>
      </c>
      <c r="Z16" s="239">
        <f>'[11]2016-17 Calculations'!$K$269</f>
        <v>11838535156.632759</v>
      </c>
      <c r="AA16" s="239">
        <f>'[12]2017-18 Calculations - history'!$K$269</f>
        <v>13369415794.198135</v>
      </c>
      <c r="AB16" s="239">
        <f>'[12]2018-19 Calculations - history'!$K$269</f>
        <v>14761228572.504208</v>
      </c>
      <c r="AC16" s="239">
        <f>'[12]2019-20 Calculations - history'!$K$269</f>
        <v>16362142168.145891</v>
      </c>
      <c r="AD16" s="239">
        <f>'[12]2020-21 Calculations - history'!$K$269</f>
        <v>18010545838.223743</v>
      </c>
      <c r="AE16" s="239">
        <f>'[12]2021-22 Calculations - history'!$K$269</f>
        <v>19055277012.907219</v>
      </c>
      <c r="AF16" s="239">
        <f>'[12]2022-23 Calculations'!$K$269</f>
        <v>21997899475.124161</v>
      </c>
      <c r="AG16" s="239">
        <f>'[12]2023-24 Calculations'!$K$269</f>
        <v>24184770725.285206</v>
      </c>
      <c r="AH16" s="240">
        <f>'[12]2024-25 Calculations'!$K$269</f>
        <v>26486383121.894615</v>
      </c>
    </row>
    <row r="17" spans="2:34" x14ac:dyDescent="0.3">
      <c r="B17" s="338"/>
      <c r="C17" s="234" t="s">
        <v>114</v>
      </c>
      <c r="D17" s="241" t="e">
        <f>D16/D3</f>
        <v>#DIV/0!</v>
      </c>
      <c r="E17" s="242" t="e">
        <f t="shared" ref="E17:AH17" si="6">E16/E3</f>
        <v>#DIV/0!</v>
      </c>
      <c r="F17" s="242" t="e">
        <f t="shared" si="6"/>
        <v>#DIV/0!</v>
      </c>
      <c r="G17" s="242" t="e">
        <f t="shared" si="6"/>
        <v>#DIV/0!</v>
      </c>
      <c r="H17" s="242" t="e">
        <f t="shared" si="6"/>
        <v>#DIV/0!</v>
      </c>
      <c r="I17" s="242" t="e">
        <f t="shared" si="6"/>
        <v>#DIV/0!</v>
      </c>
      <c r="J17" s="242" t="e">
        <f t="shared" si="6"/>
        <v>#DIV/0!</v>
      </c>
      <c r="K17" s="242" t="e">
        <f t="shared" si="6"/>
        <v>#DIV/0!</v>
      </c>
      <c r="L17" s="242" t="e">
        <f t="shared" si="6"/>
        <v>#DIV/0!</v>
      </c>
      <c r="M17" s="242" t="e">
        <f t="shared" si="6"/>
        <v>#DIV/0!</v>
      </c>
      <c r="N17" s="243" t="e">
        <f t="shared" si="6"/>
        <v>#DIV/0!</v>
      </c>
      <c r="O17" s="244">
        <f t="shared" si="6"/>
        <v>0.46204121965176159</v>
      </c>
      <c r="P17" s="245">
        <f t="shared" si="6"/>
        <v>0.45100022023234154</v>
      </c>
      <c r="Q17" s="245">
        <f t="shared" si="6"/>
        <v>0.45100022023234154</v>
      </c>
      <c r="R17" s="245">
        <f t="shared" si="6"/>
        <v>0.44567526208933578</v>
      </c>
      <c r="S17" s="245">
        <f t="shared" si="6"/>
        <v>0.2444968618359932</v>
      </c>
      <c r="T17" s="245">
        <f t="shared" si="6"/>
        <v>0.2443339455978982</v>
      </c>
      <c r="U17" s="245">
        <f t="shared" si="6"/>
        <v>0.24275276509099425</v>
      </c>
      <c r="V17" s="245">
        <f t="shared" si="6"/>
        <v>0.23957011897820907</v>
      </c>
      <c r="W17" s="245">
        <f t="shared" si="6"/>
        <v>0.314161205893491</v>
      </c>
      <c r="X17" s="245">
        <f t="shared" si="6"/>
        <v>0.31765665559947998</v>
      </c>
      <c r="Y17" s="245">
        <f t="shared" si="6"/>
        <v>0.31791468680597568</v>
      </c>
      <c r="Z17" s="245">
        <f t="shared" si="6"/>
        <v>0.32036378775752256</v>
      </c>
      <c r="AA17" s="245">
        <f t="shared" si="6"/>
        <v>0.32491756203174044</v>
      </c>
      <c r="AB17" s="245">
        <f t="shared" si="6"/>
        <v>0.32743919743224986</v>
      </c>
      <c r="AC17" s="245">
        <f t="shared" si="6"/>
        <v>0.33007565639750264</v>
      </c>
      <c r="AD17" s="245">
        <f t="shared" si="6"/>
        <v>0.33299193320799897</v>
      </c>
      <c r="AE17" s="245">
        <f t="shared" si="6"/>
        <v>0.3384549033742662</v>
      </c>
      <c r="AF17" s="245">
        <f t="shared" si="6"/>
        <v>0.3444215516694929</v>
      </c>
      <c r="AG17" s="245">
        <f t="shared" si="6"/>
        <v>0.34836301663001235</v>
      </c>
      <c r="AH17" s="246">
        <f t="shared" si="6"/>
        <v>0.35080718551329099</v>
      </c>
    </row>
    <row r="18" spans="2:34" x14ac:dyDescent="0.3">
      <c r="B18" s="338"/>
      <c r="C18" s="234" t="s">
        <v>115</v>
      </c>
      <c r="D18" s="241" t="e">
        <f>D16/D4</f>
        <v>#DIV/0!</v>
      </c>
      <c r="E18" s="242" t="e">
        <f t="shared" ref="E18:AH18" si="7">E16/E4</f>
        <v>#DIV/0!</v>
      </c>
      <c r="F18" s="242" t="e">
        <f t="shared" si="7"/>
        <v>#DIV/0!</v>
      </c>
      <c r="G18" s="242" t="e">
        <f t="shared" si="7"/>
        <v>#DIV/0!</v>
      </c>
      <c r="H18" s="242" t="e">
        <f t="shared" si="7"/>
        <v>#DIV/0!</v>
      </c>
      <c r="I18" s="242" t="e">
        <f t="shared" si="7"/>
        <v>#DIV/0!</v>
      </c>
      <c r="J18" s="242" t="e">
        <f t="shared" si="7"/>
        <v>#DIV/0!</v>
      </c>
      <c r="K18" s="242" t="e">
        <f t="shared" si="7"/>
        <v>#DIV/0!</v>
      </c>
      <c r="L18" s="242" t="e">
        <f t="shared" si="7"/>
        <v>#DIV/0!</v>
      </c>
      <c r="M18" s="242" t="e">
        <f t="shared" si="7"/>
        <v>#DIV/0!</v>
      </c>
      <c r="N18" s="243" t="e">
        <f t="shared" si="7"/>
        <v>#DIV/0!</v>
      </c>
      <c r="O18" s="244">
        <f t="shared" si="7"/>
        <v>0.28560738143002101</v>
      </c>
      <c r="P18" s="245">
        <f t="shared" si="7"/>
        <v>0.24631242294076866</v>
      </c>
      <c r="Q18" s="245">
        <f t="shared" si="7"/>
        <v>0.21446407419569771</v>
      </c>
      <c r="R18" s="245">
        <f t="shared" si="7"/>
        <v>0.1707455147107364</v>
      </c>
      <c r="S18" s="245">
        <f t="shared" si="7"/>
        <v>0.21878072279293817</v>
      </c>
      <c r="T18" s="245">
        <f t="shared" si="7"/>
        <v>0.21849160061137457</v>
      </c>
      <c r="U18" s="245">
        <f t="shared" si="7"/>
        <v>0.2176783812457094</v>
      </c>
      <c r="V18" s="245">
        <f t="shared" si="7"/>
        <v>0.21507847520019147</v>
      </c>
      <c r="W18" s="245">
        <f t="shared" si="7"/>
        <v>0.24474800303067323</v>
      </c>
      <c r="X18" s="245">
        <f t="shared" si="7"/>
        <v>0.24665629768663844</v>
      </c>
      <c r="Y18" s="245">
        <f t="shared" si="7"/>
        <v>0.23820919923354919</v>
      </c>
      <c r="Z18" s="245">
        <f t="shared" si="7"/>
        <v>0.25124725329603348</v>
      </c>
      <c r="AA18" s="245">
        <f t="shared" si="7"/>
        <v>0.26047836496844906</v>
      </c>
      <c r="AB18" s="245">
        <f t="shared" si="7"/>
        <v>0.26023651363156719</v>
      </c>
      <c r="AC18" s="245">
        <f t="shared" si="7"/>
        <v>0.26117731953670609</v>
      </c>
      <c r="AD18" s="245">
        <f t="shared" si="7"/>
        <v>0.26461633517912986</v>
      </c>
      <c r="AE18" s="245">
        <f t="shared" si="7"/>
        <v>0.26827996045228369</v>
      </c>
      <c r="AF18" s="245">
        <f t="shared" si="7"/>
        <v>0.27489443655837631</v>
      </c>
      <c r="AG18" s="245">
        <f t="shared" si="7"/>
        <v>0.27962182844632033</v>
      </c>
      <c r="AH18" s="246">
        <f t="shared" si="7"/>
        <v>0.2831080557027848</v>
      </c>
    </row>
    <row r="19" spans="2:34" x14ac:dyDescent="0.3">
      <c r="B19" s="338"/>
      <c r="C19" s="234" t="s">
        <v>116</v>
      </c>
      <c r="D19" s="241" t="e">
        <f>D16/D5</f>
        <v>#DIV/0!</v>
      </c>
      <c r="E19" s="242" t="e">
        <f t="shared" ref="E19:AH19" si="8">E16/E5</f>
        <v>#DIV/0!</v>
      </c>
      <c r="F19" s="242" t="e">
        <f t="shared" si="8"/>
        <v>#DIV/0!</v>
      </c>
      <c r="G19" s="242" t="e">
        <f t="shared" si="8"/>
        <v>#DIV/0!</v>
      </c>
      <c r="H19" s="242" t="e">
        <f t="shared" si="8"/>
        <v>#DIV/0!</v>
      </c>
      <c r="I19" s="242" t="e">
        <f t="shared" si="8"/>
        <v>#DIV/0!</v>
      </c>
      <c r="J19" s="242" t="e">
        <f t="shared" si="8"/>
        <v>#DIV/0!</v>
      </c>
      <c r="K19" s="242" t="e">
        <f t="shared" si="8"/>
        <v>#DIV/0!</v>
      </c>
      <c r="L19" s="242" t="e">
        <f t="shared" si="8"/>
        <v>#DIV/0!</v>
      </c>
      <c r="M19" s="242" t="e">
        <f t="shared" si="8"/>
        <v>#DIV/0!</v>
      </c>
      <c r="N19" s="243" t="e">
        <f t="shared" si="8"/>
        <v>#DIV/0!</v>
      </c>
      <c r="O19" s="244">
        <f t="shared" si="8"/>
        <v>0.14412782397385285</v>
      </c>
      <c r="P19" s="245">
        <f t="shared" si="8"/>
        <v>0.10069425554970385</v>
      </c>
      <c r="Q19" s="245">
        <f t="shared" si="8"/>
        <v>7.1502971465785561E-2</v>
      </c>
      <c r="R19" s="245">
        <f t="shared" si="8"/>
        <v>6.0597526721270528E-2</v>
      </c>
      <c r="S19" s="245">
        <f t="shared" si="8"/>
        <v>8.8491386557047982E-2</v>
      </c>
      <c r="T19" s="245">
        <f t="shared" si="8"/>
        <v>9.466419772385648E-2</v>
      </c>
      <c r="U19" s="245">
        <f t="shared" si="8"/>
        <v>0.1160996003693123</v>
      </c>
      <c r="V19" s="245">
        <f t="shared" si="8"/>
        <v>9.4218096298065768E-2</v>
      </c>
      <c r="W19" s="245">
        <f t="shared" si="8"/>
        <v>0.10497164519038304</v>
      </c>
      <c r="X19" s="245">
        <f t="shared" si="8"/>
        <v>0.11100413537214561</v>
      </c>
      <c r="Y19" s="245">
        <f t="shared" si="8"/>
        <v>0.10913193821003801</v>
      </c>
      <c r="Z19" s="245">
        <f t="shared" si="8"/>
        <v>0.11508578122319457</v>
      </c>
      <c r="AA19" s="245">
        <f t="shared" si="8"/>
        <v>0.11875674776056369</v>
      </c>
      <c r="AB19" s="245">
        <f t="shared" si="8"/>
        <v>0.12460405900662708</v>
      </c>
      <c r="AC19" s="245">
        <f t="shared" si="8"/>
        <v>0.13304120677612141</v>
      </c>
      <c r="AD19" s="245">
        <f t="shared" si="8"/>
        <v>0.13136988959086079</v>
      </c>
      <c r="AE19" s="245">
        <f t="shared" si="8"/>
        <v>0.13849776276239065</v>
      </c>
      <c r="AF19" s="245">
        <f t="shared" si="8"/>
        <v>0.14603972277341876</v>
      </c>
      <c r="AG19" s="245">
        <f t="shared" si="8"/>
        <v>0.15067100959613788</v>
      </c>
      <c r="AH19" s="246">
        <f t="shared" si="8"/>
        <v>0.15566722150044734</v>
      </c>
    </row>
    <row r="20" spans="2:34" x14ac:dyDescent="0.3">
      <c r="B20" s="338"/>
      <c r="C20" s="234" t="s">
        <v>135</v>
      </c>
      <c r="D20" s="241"/>
      <c r="E20" s="242"/>
      <c r="F20" s="242"/>
      <c r="G20" s="242"/>
      <c r="H20" s="242"/>
      <c r="I20" s="242"/>
      <c r="J20" s="242"/>
      <c r="K20" s="242"/>
      <c r="L20" s="242"/>
      <c r="M20" s="242"/>
      <c r="N20" s="243"/>
      <c r="O20" s="315"/>
      <c r="P20" s="316"/>
      <c r="Q20" s="316"/>
      <c r="R20" s="316"/>
      <c r="S20" s="316"/>
      <c r="T20" s="316"/>
      <c r="U20" s="316"/>
      <c r="V20" s="316"/>
      <c r="W20" s="316"/>
      <c r="X20" s="316"/>
      <c r="Y20" s="245">
        <f>Y16/Y6</f>
        <v>1.5300824492362766E-2</v>
      </c>
      <c r="Z20" s="245">
        <f t="shared" ref="Z20:AH20" si="9">Z16/Z6</f>
        <v>1.5783093396321661E-2</v>
      </c>
      <c r="AA20" s="245">
        <f t="shared" si="9"/>
        <v>1.6711966347837951E-2</v>
      </c>
      <c r="AB20" s="245">
        <f t="shared" si="9"/>
        <v>1.7149339276796609E-2</v>
      </c>
      <c r="AC20" s="245">
        <f t="shared" si="9"/>
        <v>1.7546227835833761E-2</v>
      </c>
      <c r="AD20" s="245">
        <f t="shared" si="9"/>
        <v>1.71628838734742E-2</v>
      </c>
      <c r="AE20" s="245">
        <f t="shared" si="9"/>
        <v>1.7717950356175995E-2</v>
      </c>
      <c r="AF20" s="245">
        <f t="shared" si="9"/>
        <v>1.9616320490681807E-2</v>
      </c>
      <c r="AG20" s="245">
        <f t="shared" si="9"/>
        <v>2.2278174179968035E-2</v>
      </c>
      <c r="AH20" s="246">
        <f t="shared" si="9"/>
        <v>2.3507920252059267E-2</v>
      </c>
    </row>
    <row r="21" spans="2:34" x14ac:dyDescent="0.3">
      <c r="B21" s="338"/>
      <c r="C21" s="247" t="s">
        <v>133</v>
      </c>
      <c r="D21" s="248" t="e">
        <f t="shared" ref="D21:N21" si="10">D16/D7</f>
        <v>#DIV/0!</v>
      </c>
      <c r="E21" s="249" t="e">
        <f t="shared" si="10"/>
        <v>#DIV/0!</v>
      </c>
      <c r="F21" s="249" t="e">
        <f t="shared" si="10"/>
        <v>#DIV/0!</v>
      </c>
      <c r="G21" s="249" t="e">
        <f t="shared" si="10"/>
        <v>#DIV/0!</v>
      </c>
      <c r="H21" s="249" t="e">
        <f t="shared" si="10"/>
        <v>#DIV/0!</v>
      </c>
      <c r="I21" s="249" t="e">
        <f t="shared" si="10"/>
        <v>#DIV/0!</v>
      </c>
      <c r="J21" s="249" t="e">
        <f t="shared" si="10"/>
        <v>#DIV/0!</v>
      </c>
      <c r="K21" s="249" t="e">
        <f t="shared" si="10"/>
        <v>#DIV/0!</v>
      </c>
      <c r="L21" s="249" t="e">
        <f t="shared" si="10"/>
        <v>#DIV/0!</v>
      </c>
      <c r="M21" s="249" t="e">
        <f t="shared" si="10"/>
        <v>#DIV/0!</v>
      </c>
      <c r="N21" s="250" t="e">
        <f t="shared" si="10"/>
        <v>#DIV/0!</v>
      </c>
      <c r="O21" s="190"/>
      <c r="P21" s="191"/>
      <c r="Q21" s="191"/>
      <c r="R21" s="191"/>
      <c r="S21" s="191"/>
      <c r="T21" s="191"/>
      <c r="U21" s="191"/>
      <c r="V21" s="191"/>
      <c r="W21" s="191"/>
      <c r="X21" s="191"/>
      <c r="Y21" s="251">
        <f t="shared" ref="Y21:AH21" si="11">Y16/Y7</f>
        <v>8.6719606166511046E-3</v>
      </c>
      <c r="Z21" s="251">
        <f t="shared" si="11"/>
        <v>9.1312589572388973E-3</v>
      </c>
      <c r="AA21" s="251">
        <f t="shared" si="11"/>
        <v>9.6999971027695742E-3</v>
      </c>
      <c r="AB21" s="251">
        <f t="shared" si="11"/>
        <v>1.0105781612634892E-2</v>
      </c>
      <c r="AC21" s="251">
        <f t="shared" si="11"/>
        <v>1.0211524879722168E-2</v>
      </c>
      <c r="AD21" s="251">
        <f t="shared" si="11"/>
        <v>1.0401847172964348E-2</v>
      </c>
      <c r="AE21" s="251">
        <f t="shared" si="11"/>
        <v>1.0535096131215336E-2</v>
      </c>
      <c r="AF21" s="251">
        <f t="shared" si="11"/>
        <v>1.1855758686282133E-2</v>
      </c>
      <c r="AG21" s="251">
        <f t="shared" si="11"/>
        <v>1.3130886917490136E-2</v>
      </c>
      <c r="AH21" s="252">
        <f t="shared" si="11"/>
        <v>1.3807427848009134E-2</v>
      </c>
    </row>
    <row r="22" spans="2:34" x14ac:dyDescent="0.3">
      <c r="B22" s="329" t="s">
        <v>117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195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7"/>
    </row>
    <row r="23" spans="2:34" x14ac:dyDescent="0.3">
      <c r="B23" s="330"/>
      <c r="C23" s="285" t="s">
        <v>118</v>
      </c>
      <c r="D23" s="286"/>
      <c r="E23" s="287"/>
      <c r="F23" s="287"/>
      <c r="G23" s="287"/>
      <c r="H23" s="287"/>
      <c r="I23" s="287"/>
      <c r="J23" s="287"/>
      <c r="K23" s="287"/>
      <c r="L23" s="287"/>
      <c r="M23" s="287"/>
      <c r="N23" s="288"/>
      <c r="O23" s="332" t="s">
        <v>119</v>
      </c>
      <c r="P23" s="333"/>
      <c r="Q23" s="333"/>
      <c r="R23" s="333"/>
      <c r="S23" s="289">
        <f>'[6]ES Formula Components'!$E$445</f>
        <v>3623057218.940794</v>
      </c>
      <c r="T23" s="289">
        <f>'[7]ES Formula Components'!$E$445</f>
        <v>4718454632.2063837</v>
      </c>
      <c r="U23" s="289">
        <f>'[8]ES Formula Components'!$E$438</f>
        <v>6588116561.4060612</v>
      </c>
      <c r="V23" s="289">
        <f>[9]Allocations!$BI$291</f>
        <v>6203673187.9840736</v>
      </c>
      <c r="W23" s="289">
        <f>'[10]HISTORICAL Formula- 2013-14'!$Y$291</f>
        <v>7319137225.6383095</v>
      </c>
      <c r="X23" s="289">
        <f>'[10]HISTORICAL Formula- 2014-15'!$Y$291</f>
        <v>7937373623.5110846</v>
      </c>
      <c r="Y23" s="289">
        <f>'[10]Formula- 2015-16'!$X$291</f>
        <v>8651325118.7759514</v>
      </c>
      <c r="Z23" s="289">
        <f>'[11]2016-17 Calculations'!$L$269</f>
        <v>9402933725.611536</v>
      </c>
      <c r="AA23" s="289">
        <f>'[12]2017-18 Calculations - history'!$L$269</f>
        <v>10364206282.595663</v>
      </c>
      <c r="AB23" s="289">
        <f>'[12]2018-19 Calculations - history'!$L$269</f>
        <v>11269052262.439138</v>
      </c>
      <c r="AC23" s="289">
        <f>'[12]2019-20 Calculations - history'!$L$269</f>
        <v>12292246063.465649</v>
      </c>
      <c r="AD23" s="289">
        <f>'[12]2020-21 Calculations - history'!$L$269</f>
        <v>13290324084.255808</v>
      </c>
      <c r="AE23" s="289">
        <f>'[12]2021-22 Calculations - history'!$L$269</f>
        <v>13616322296.801678</v>
      </c>
      <c r="AF23" s="289">
        <f>'[12]2022-23 Calculations'!$K$269</f>
        <v>21997899475.124161</v>
      </c>
      <c r="AG23" s="289">
        <f>'[12]2023-24 Calculations'!$K$269</f>
        <v>24184770725.285206</v>
      </c>
      <c r="AH23" s="290">
        <f>'[12]2024-25 Calculations'!$K$269</f>
        <v>26486383121.894615</v>
      </c>
    </row>
    <row r="24" spans="2:34" x14ac:dyDescent="0.3">
      <c r="B24" s="330"/>
      <c r="C24" s="253" t="s">
        <v>120</v>
      </c>
      <c r="D24" s="254" t="e">
        <f>D23/D3</f>
        <v>#DIV/0!</v>
      </c>
      <c r="E24" s="255" t="e">
        <f t="shared" ref="E24:AH24" si="12">E23/E3</f>
        <v>#DIV/0!</v>
      </c>
      <c r="F24" s="255" t="e">
        <f t="shared" si="12"/>
        <v>#DIV/0!</v>
      </c>
      <c r="G24" s="255" t="e">
        <f t="shared" si="12"/>
        <v>#DIV/0!</v>
      </c>
      <c r="H24" s="255" t="e">
        <f t="shared" si="12"/>
        <v>#DIV/0!</v>
      </c>
      <c r="I24" s="255" t="e">
        <f t="shared" si="12"/>
        <v>#DIV/0!</v>
      </c>
      <c r="J24" s="255" t="e">
        <f t="shared" si="12"/>
        <v>#DIV/0!</v>
      </c>
      <c r="K24" s="255" t="e">
        <f t="shared" si="12"/>
        <v>#DIV/0!</v>
      </c>
      <c r="L24" s="255" t="e">
        <f t="shared" si="12"/>
        <v>#DIV/0!</v>
      </c>
      <c r="M24" s="255" t="e">
        <f t="shared" si="12"/>
        <v>#DIV/0!</v>
      </c>
      <c r="N24" s="256" t="e">
        <f t="shared" si="12"/>
        <v>#DIV/0!</v>
      </c>
      <c r="O24" s="334"/>
      <c r="P24" s="335"/>
      <c r="Q24" s="335"/>
      <c r="R24" s="335"/>
      <c r="S24" s="257">
        <f t="shared" si="12"/>
        <v>0.19962404367275294</v>
      </c>
      <c r="T24" s="257">
        <f t="shared" si="12"/>
        <v>0.19996183690255726</v>
      </c>
      <c r="U24" s="257">
        <f t="shared" si="12"/>
        <v>0.20182939800931263</v>
      </c>
      <c r="V24" s="257">
        <f t="shared" si="12"/>
        <v>0.20638649404285647</v>
      </c>
      <c r="W24" s="257">
        <f t="shared" si="12"/>
        <v>0.26180100491124253</v>
      </c>
      <c r="X24" s="257">
        <f t="shared" si="12"/>
        <v>0.25938242577023424</v>
      </c>
      <c r="Y24" s="257">
        <f t="shared" si="12"/>
        <v>0.25628291567380002</v>
      </c>
      <c r="Z24" s="257">
        <f t="shared" si="12"/>
        <v>0.2544537330433263</v>
      </c>
      <c r="AA24" s="257">
        <f t="shared" si="12"/>
        <v>0.25188180916599318</v>
      </c>
      <c r="AB24" s="257">
        <f t="shared" si="12"/>
        <v>0.24997441171721951</v>
      </c>
      <c r="AC24" s="257">
        <f t="shared" si="12"/>
        <v>0.24797310439564596</v>
      </c>
      <c r="AD24" s="257">
        <f t="shared" si="12"/>
        <v>0.24572107639207641</v>
      </c>
      <c r="AE24" s="257">
        <f t="shared" si="12"/>
        <v>0.24184959600195119</v>
      </c>
      <c r="AF24" s="257">
        <f t="shared" si="12"/>
        <v>0.3444215516694929</v>
      </c>
      <c r="AG24" s="257">
        <f t="shared" si="12"/>
        <v>0.34836301663001235</v>
      </c>
      <c r="AH24" s="258">
        <f t="shared" si="12"/>
        <v>0.35080718551329099</v>
      </c>
    </row>
    <row r="25" spans="2:34" x14ac:dyDescent="0.3">
      <c r="B25" s="330"/>
      <c r="C25" s="253" t="s">
        <v>121</v>
      </c>
      <c r="D25" s="254" t="e">
        <f>D23/D4</f>
        <v>#DIV/0!</v>
      </c>
      <c r="E25" s="255" t="e">
        <f t="shared" ref="E25:AH25" si="13">E23/E4</f>
        <v>#DIV/0!</v>
      </c>
      <c r="F25" s="255" t="e">
        <f t="shared" si="13"/>
        <v>#DIV/0!</v>
      </c>
      <c r="G25" s="255" t="e">
        <f t="shared" si="13"/>
        <v>#DIV/0!</v>
      </c>
      <c r="H25" s="255" t="e">
        <f t="shared" si="13"/>
        <v>#DIV/0!</v>
      </c>
      <c r="I25" s="255" t="e">
        <f t="shared" si="13"/>
        <v>#DIV/0!</v>
      </c>
      <c r="J25" s="255" t="e">
        <f t="shared" si="13"/>
        <v>#DIV/0!</v>
      </c>
      <c r="K25" s="255" t="e">
        <f t="shared" si="13"/>
        <v>#DIV/0!</v>
      </c>
      <c r="L25" s="255" t="e">
        <f t="shared" si="13"/>
        <v>#DIV/0!</v>
      </c>
      <c r="M25" s="255" t="e">
        <f t="shared" si="13"/>
        <v>#DIV/0!</v>
      </c>
      <c r="N25" s="256" t="e">
        <f t="shared" si="13"/>
        <v>#DIV/0!</v>
      </c>
      <c r="O25" s="334"/>
      <c r="P25" s="335"/>
      <c r="Q25" s="335"/>
      <c r="R25" s="335"/>
      <c r="S25" s="257">
        <f t="shared" si="13"/>
        <v>0.17862762014045844</v>
      </c>
      <c r="T25" s="257">
        <f t="shared" si="13"/>
        <v>0.17881257431962083</v>
      </c>
      <c r="U25" s="257">
        <f t="shared" si="13"/>
        <v>0.1809820647356781</v>
      </c>
      <c r="V25" s="257">
        <f t="shared" si="13"/>
        <v>0.18528726633344683</v>
      </c>
      <c r="W25" s="257">
        <f t="shared" si="13"/>
        <v>0.20395666919222774</v>
      </c>
      <c r="X25" s="257">
        <f t="shared" si="13"/>
        <v>0.20140710952435661</v>
      </c>
      <c r="Y25" s="257">
        <f t="shared" si="13"/>
        <v>0.19202934200128188</v>
      </c>
      <c r="Z25" s="257">
        <f t="shared" si="13"/>
        <v>0.19955689113791453</v>
      </c>
      <c r="AA25" s="257">
        <f t="shared" si="13"/>
        <v>0.20192741016086893</v>
      </c>
      <c r="AB25" s="257">
        <f t="shared" si="13"/>
        <v>0.19867037884446051</v>
      </c>
      <c r="AC25" s="257">
        <f t="shared" si="13"/>
        <v>0.19621244241427982</v>
      </c>
      <c r="AD25" s="257">
        <f t="shared" si="13"/>
        <v>0.19526542305313821</v>
      </c>
      <c r="AE25" s="257">
        <f t="shared" si="13"/>
        <v>0.19170471281089896</v>
      </c>
      <c r="AF25" s="257">
        <f t="shared" si="13"/>
        <v>0.27489443655837631</v>
      </c>
      <c r="AG25" s="257">
        <f t="shared" si="13"/>
        <v>0.27962182844632033</v>
      </c>
      <c r="AH25" s="258">
        <f t="shared" si="13"/>
        <v>0.2831080557027848</v>
      </c>
    </row>
    <row r="26" spans="2:34" x14ac:dyDescent="0.3">
      <c r="B26" s="330"/>
      <c r="C26" s="253" t="s">
        <v>122</v>
      </c>
      <c r="D26" s="254" t="e">
        <f>D23/D5</f>
        <v>#DIV/0!</v>
      </c>
      <c r="E26" s="255" t="e">
        <f t="shared" ref="E26:AH26" si="14">E23/E5</f>
        <v>#DIV/0!</v>
      </c>
      <c r="F26" s="255" t="e">
        <f t="shared" si="14"/>
        <v>#DIV/0!</v>
      </c>
      <c r="G26" s="255" t="e">
        <f t="shared" si="14"/>
        <v>#DIV/0!</v>
      </c>
      <c r="H26" s="255" t="e">
        <f t="shared" si="14"/>
        <v>#DIV/0!</v>
      </c>
      <c r="I26" s="255" t="e">
        <f t="shared" si="14"/>
        <v>#DIV/0!</v>
      </c>
      <c r="J26" s="255" t="e">
        <f t="shared" si="14"/>
        <v>#DIV/0!</v>
      </c>
      <c r="K26" s="255" t="e">
        <f t="shared" si="14"/>
        <v>#DIV/0!</v>
      </c>
      <c r="L26" s="255" t="e">
        <f t="shared" si="14"/>
        <v>#DIV/0!</v>
      </c>
      <c r="M26" s="255" t="e">
        <f t="shared" si="14"/>
        <v>#DIV/0!</v>
      </c>
      <c r="N26" s="256" t="e">
        <f t="shared" si="14"/>
        <v>#DIV/0!</v>
      </c>
      <c r="O26" s="334"/>
      <c r="P26" s="335"/>
      <c r="Q26" s="335"/>
      <c r="R26" s="335"/>
      <c r="S26" s="257">
        <f t="shared" si="14"/>
        <v>7.2250450505071007E-2</v>
      </c>
      <c r="T26" s="257">
        <f t="shared" si="14"/>
        <v>7.7472767115712854E-2</v>
      </c>
      <c r="U26" s="257">
        <f t="shared" si="14"/>
        <v>9.6527479070636441E-2</v>
      </c>
      <c r="V26" s="257">
        <f t="shared" si="14"/>
        <v>8.1167645836994998E-2</v>
      </c>
      <c r="W26" s="257">
        <f t="shared" si="14"/>
        <v>8.747637099198588E-2</v>
      </c>
      <c r="X26" s="257">
        <f t="shared" si="14"/>
        <v>9.0640386076650897E-2</v>
      </c>
      <c r="Y26" s="257">
        <f t="shared" si="14"/>
        <v>8.797533576884066E-2</v>
      </c>
      <c r="Z26" s="257">
        <f t="shared" si="14"/>
        <v>9.140860412917183E-2</v>
      </c>
      <c r="AA26" s="257">
        <f t="shared" si="14"/>
        <v>9.206231971443328E-2</v>
      </c>
      <c r="AB26" s="257">
        <f t="shared" si="14"/>
        <v>9.5125527401782969E-2</v>
      </c>
      <c r="AC26" s="257">
        <f t="shared" si="14"/>
        <v>9.9948725140420525E-2</v>
      </c>
      <c r="AD26" s="257">
        <f t="shared" si="14"/>
        <v>9.6940338358320097E-2</v>
      </c>
      <c r="AE26" s="257">
        <f t="shared" si="14"/>
        <v>9.8966295471921456E-2</v>
      </c>
      <c r="AF26" s="257">
        <f t="shared" si="14"/>
        <v>0.14603972277341876</v>
      </c>
      <c r="AG26" s="257">
        <f t="shared" si="14"/>
        <v>0.15067100959613788</v>
      </c>
      <c r="AH26" s="258">
        <f t="shared" si="14"/>
        <v>0.15566722150044734</v>
      </c>
    </row>
    <row r="27" spans="2:34" x14ac:dyDescent="0.3">
      <c r="B27" s="330"/>
      <c r="C27" s="253" t="s">
        <v>136</v>
      </c>
      <c r="D27" s="254"/>
      <c r="E27" s="255"/>
      <c r="F27" s="255"/>
      <c r="G27" s="255"/>
      <c r="H27" s="255"/>
      <c r="I27" s="255"/>
      <c r="J27" s="255"/>
      <c r="K27" s="255"/>
      <c r="L27" s="255"/>
      <c r="M27" s="255"/>
      <c r="N27" s="256"/>
      <c r="O27" s="334"/>
      <c r="P27" s="335"/>
      <c r="Q27" s="335"/>
      <c r="R27" s="335"/>
      <c r="S27" s="316"/>
      <c r="T27" s="316"/>
      <c r="U27" s="316"/>
      <c r="V27" s="316"/>
      <c r="W27" s="316"/>
      <c r="X27" s="316"/>
      <c r="Y27" s="257">
        <f>Y23/Y6</f>
        <v>1.2334566711946299E-2</v>
      </c>
      <c r="Z27" s="257">
        <f t="shared" ref="Z27:AH27" si="15">Z23/Z6</f>
        <v>1.2535958142389066E-2</v>
      </c>
      <c r="AA27" s="257">
        <f t="shared" si="15"/>
        <v>1.2955410264968716E-2</v>
      </c>
      <c r="AB27" s="257">
        <f t="shared" si="15"/>
        <v>1.3092189422261324E-2</v>
      </c>
      <c r="AC27" s="257">
        <f t="shared" si="15"/>
        <v>1.3181803936625949E-2</v>
      </c>
      <c r="AD27" s="257">
        <f t="shared" si="15"/>
        <v>1.2664818209719274E-2</v>
      </c>
      <c r="AE27" s="257">
        <f t="shared" si="15"/>
        <v>1.2660709278852773E-2</v>
      </c>
      <c r="AF27" s="257">
        <f t="shared" si="15"/>
        <v>1.9616320490681807E-2</v>
      </c>
      <c r="AG27" s="257">
        <f t="shared" si="15"/>
        <v>2.2278174179968035E-2</v>
      </c>
      <c r="AH27" s="258">
        <f t="shared" si="15"/>
        <v>2.3507920252059267E-2</v>
      </c>
    </row>
    <row r="28" spans="2:34" x14ac:dyDescent="0.3">
      <c r="B28" s="331"/>
      <c r="C28" s="259" t="s">
        <v>131</v>
      </c>
      <c r="D28" s="260" t="e">
        <f t="shared" ref="D28:N28" si="16">D23/D7</f>
        <v>#DIV/0!</v>
      </c>
      <c r="E28" s="261" t="e">
        <f t="shared" si="16"/>
        <v>#DIV/0!</v>
      </c>
      <c r="F28" s="261" t="e">
        <f t="shared" si="16"/>
        <v>#DIV/0!</v>
      </c>
      <c r="G28" s="261" t="e">
        <f t="shared" si="16"/>
        <v>#DIV/0!</v>
      </c>
      <c r="H28" s="261" t="e">
        <f t="shared" si="16"/>
        <v>#DIV/0!</v>
      </c>
      <c r="I28" s="261" t="e">
        <f t="shared" si="16"/>
        <v>#DIV/0!</v>
      </c>
      <c r="J28" s="261" t="e">
        <f t="shared" si="16"/>
        <v>#DIV/0!</v>
      </c>
      <c r="K28" s="261" t="e">
        <f t="shared" si="16"/>
        <v>#DIV/0!</v>
      </c>
      <c r="L28" s="261" t="e">
        <f t="shared" si="16"/>
        <v>#DIV/0!</v>
      </c>
      <c r="M28" s="261" t="e">
        <f t="shared" si="16"/>
        <v>#DIV/0!</v>
      </c>
      <c r="N28" s="262" t="e">
        <f t="shared" si="16"/>
        <v>#DIV/0!</v>
      </c>
      <c r="O28" s="336"/>
      <c r="P28" s="337"/>
      <c r="Q28" s="337"/>
      <c r="R28" s="337"/>
      <c r="S28" s="191"/>
      <c r="T28" s="191"/>
      <c r="U28" s="191"/>
      <c r="V28" s="191"/>
      <c r="W28" s="191"/>
      <c r="X28" s="191"/>
      <c r="Y28" s="263">
        <f t="shared" ref="Y28:AH28" si="17">Y23/Y7</f>
        <v>6.9907916924897952E-3</v>
      </c>
      <c r="Z28" s="263">
        <f t="shared" si="17"/>
        <v>7.2526390867039868E-3</v>
      </c>
      <c r="AA28" s="263">
        <f t="shared" si="17"/>
        <v>7.5196083704204865E-3</v>
      </c>
      <c r="AB28" s="263">
        <f t="shared" si="17"/>
        <v>7.7149798599900126E-3</v>
      </c>
      <c r="AC28" s="263">
        <f t="shared" si="17"/>
        <v>7.671524621581393E-3</v>
      </c>
      <c r="AD28" s="263">
        <f t="shared" si="17"/>
        <v>7.6757207274752038E-3</v>
      </c>
      <c r="AE28" s="263">
        <f t="shared" si="17"/>
        <v>7.5280597733242164E-3</v>
      </c>
      <c r="AF28" s="263">
        <f t="shared" si="17"/>
        <v>1.1855758686282133E-2</v>
      </c>
      <c r="AG28" s="263">
        <f t="shared" si="17"/>
        <v>1.3130886917490136E-2</v>
      </c>
      <c r="AH28" s="264">
        <f t="shared" si="17"/>
        <v>1.3807427848009134E-2</v>
      </c>
    </row>
    <row r="29" spans="2:34" x14ac:dyDescent="0.3">
      <c r="B29" s="338" t="s">
        <v>123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198"/>
      <c r="P29" s="199"/>
      <c r="Q29" s="199"/>
      <c r="R29" s="199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1"/>
    </row>
    <row r="30" spans="2:34" x14ac:dyDescent="0.3">
      <c r="B30" s="338"/>
      <c r="C30" s="278" t="s">
        <v>124</v>
      </c>
      <c r="D30" s="279"/>
      <c r="E30" s="280"/>
      <c r="F30" s="280"/>
      <c r="G30" s="280"/>
      <c r="H30" s="280"/>
      <c r="I30" s="280"/>
      <c r="J30" s="280"/>
      <c r="K30" s="280"/>
      <c r="L30" s="280"/>
      <c r="M30" s="280"/>
      <c r="N30" s="281"/>
      <c r="O30" s="282">
        <f>[2]Allocations!$E$322+[2]Allocations!$J$322</f>
        <v>1186755367.4678681</v>
      </c>
      <c r="P30" s="283">
        <f>[3]Allocations!$E$320+[3]Allocations!$J$320</f>
        <v>1186755367.4678669</v>
      </c>
      <c r="Q30" s="283">
        <f>[4]Allocations!$E$320+[4]Allocations!$J$320</f>
        <v>1186755367.4678669</v>
      </c>
      <c r="R30" s="283">
        <f>[5]Allocations!$E$320+[5]Allocations!$J$320</f>
        <v>1186755367.4678669</v>
      </c>
      <c r="S30" s="283">
        <f>'[6]ES Formula Components'!$F$445</f>
        <v>3539640877.3288817</v>
      </c>
      <c r="T30" s="283">
        <f>'[7]ES Formula Components'!$F$445</f>
        <v>4615608597.8790522</v>
      </c>
      <c r="U30" s="283">
        <f>'[8]ES Formula Components'!$F$438</f>
        <v>6456634524.6483212</v>
      </c>
      <c r="V30" s="283">
        <f>[9]Allocations!$BJ$291</f>
        <v>6115762034.0422554</v>
      </c>
      <c r="W30" s="283">
        <f>'[10]HISTORICAL Formula- 2013-14'!$Z$291</f>
        <v>6135503566.6074829</v>
      </c>
      <c r="X30" s="283">
        <f>'[10]HISTORICAL Formula- 2014-15'!$Z$291</f>
        <v>6653760228.1806192</v>
      </c>
      <c r="Y30" s="283">
        <f>'[10]Formula- 2015-16'!$Y$291</f>
        <v>7252253166.6977425</v>
      </c>
      <c r="Z30" s="283">
        <f>'[11]2016-17 Calculations'!$M$269</f>
        <v>7882313397.2641125</v>
      </c>
      <c r="AA30" s="283">
        <f>'[12]2017-18 Calculations - history'!$M$269</f>
        <v>8688131217.0473251</v>
      </c>
      <c r="AB30" s="283">
        <f>'[12]2018-19 Calculations - history'!$M$269</f>
        <v>9446647633.0414162</v>
      </c>
      <c r="AC30" s="283">
        <f>'[12]2019-20 Calculations - history'!$M$269</f>
        <v>10304372938.906448</v>
      </c>
      <c r="AD30" s="283">
        <f>'[12]2020-21 Calculations - history'!$M$269</f>
        <v>11141044129.447823</v>
      </c>
      <c r="AE30" s="283">
        <f>'[12]2021-22 Calculations - history'!$M$269</f>
        <v>11414322677.741264</v>
      </c>
      <c r="AF30" s="283">
        <f>'[12]2022-23 Calculations'!$M$269</f>
        <v>12710819481.49913</v>
      </c>
      <c r="AG30" s="283">
        <f>'[12]2023-24 Calculations'!$M$269</f>
        <v>13602076592.904589</v>
      </c>
      <c r="AH30" s="284">
        <f>'[12]2024-25 Calculations'!$M$269</f>
        <v>14598283888.2523</v>
      </c>
    </row>
    <row r="31" spans="2:34" x14ac:dyDescent="0.3">
      <c r="B31" s="338"/>
      <c r="C31" s="265" t="s">
        <v>125</v>
      </c>
      <c r="D31" s="266" t="e">
        <f>D30/D3</f>
        <v>#DIV/0!</v>
      </c>
      <c r="E31" s="267" t="e">
        <f t="shared" ref="E31:AH31" si="18">E30/E3</f>
        <v>#DIV/0!</v>
      </c>
      <c r="F31" s="267" t="e">
        <f t="shared" si="18"/>
        <v>#DIV/0!</v>
      </c>
      <c r="G31" s="267" t="e">
        <f t="shared" si="18"/>
        <v>#DIV/0!</v>
      </c>
      <c r="H31" s="267" t="e">
        <f t="shared" si="18"/>
        <v>#DIV/0!</v>
      </c>
      <c r="I31" s="267" t="e">
        <f t="shared" si="18"/>
        <v>#DIV/0!</v>
      </c>
      <c r="J31" s="267" t="e">
        <f t="shared" si="18"/>
        <v>#DIV/0!</v>
      </c>
      <c r="K31" s="267" t="e">
        <f t="shared" si="18"/>
        <v>#DIV/0!</v>
      </c>
      <c r="L31" s="267" t="e">
        <f t="shared" si="18"/>
        <v>#DIV/0!</v>
      </c>
      <c r="M31" s="267" t="e">
        <f t="shared" si="18"/>
        <v>#DIV/0!</v>
      </c>
      <c r="N31" s="268" t="e">
        <f t="shared" si="18"/>
        <v>#DIV/0!</v>
      </c>
      <c r="O31" s="269">
        <f t="shared" si="18"/>
        <v>0.20547982340554941</v>
      </c>
      <c r="P31" s="270">
        <f t="shared" si="18"/>
        <v>0.20056964977941003</v>
      </c>
      <c r="Q31" s="270">
        <f t="shared" si="18"/>
        <v>0.20056964977941003</v>
      </c>
      <c r="R31" s="270">
        <f t="shared" si="18"/>
        <v>0.19820152457254767</v>
      </c>
      <c r="S31" s="270">
        <f t="shared" si="18"/>
        <v>0.19502795081120386</v>
      </c>
      <c r="T31" s="270">
        <f t="shared" si="18"/>
        <v>0.19560335864108033</v>
      </c>
      <c r="U31" s="270">
        <f t="shared" si="18"/>
        <v>0.19780139697434165</v>
      </c>
      <c r="V31" s="270">
        <f t="shared" si="18"/>
        <v>0.2034618275913006</v>
      </c>
      <c r="W31" s="270">
        <f t="shared" si="18"/>
        <v>0.21946316209889977</v>
      </c>
      <c r="X31" s="270">
        <f t="shared" si="18"/>
        <v>0.21743570988857661</v>
      </c>
      <c r="Y31" s="270">
        <f t="shared" si="18"/>
        <v>0.21483744527553003</v>
      </c>
      <c r="Z31" s="270">
        <f t="shared" si="18"/>
        <v>0.21330407375819652</v>
      </c>
      <c r="AA31" s="270">
        <f t="shared" si="18"/>
        <v>0.21114807536167191</v>
      </c>
      <c r="AB31" s="270">
        <f t="shared" si="18"/>
        <v>0.20954913774250902</v>
      </c>
      <c r="AC31" s="270">
        <f t="shared" si="18"/>
        <v>0.20787147713431864</v>
      </c>
      <c r="AD31" s="270">
        <f t="shared" si="18"/>
        <v>0.20598364180318138</v>
      </c>
      <c r="AE31" s="270">
        <f t="shared" si="18"/>
        <v>0.20273824811682498</v>
      </c>
      <c r="AF31" s="270">
        <f t="shared" si="18"/>
        <v>0.19901355462413031</v>
      </c>
      <c r="AG31" s="270">
        <f t="shared" si="18"/>
        <v>0.19592744906126636</v>
      </c>
      <c r="AH31" s="271">
        <f t="shared" si="18"/>
        <v>0.19335153692345614</v>
      </c>
    </row>
    <row r="32" spans="2:34" x14ac:dyDescent="0.3">
      <c r="B32" s="338"/>
      <c r="C32" s="265" t="s">
        <v>126</v>
      </c>
      <c r="D32" s="266" t="e">
        <f>D30/D4</f>
        <v>#DIV/0!</v>
      </c>
      <c r="E32" s="267" t="e">
        <f t="shared" ref="E32:AH32" si="19">E30/E4</f>
        <v>#DIV/0!</v>
      </c>
      <c r="F32" s="267" t="e">
        <f t="shared" si="19"/>
        <v>#DIV/0!</v>
      </c>
      <c r="G32" s="267" t="e">
        <f t="shared" si="19"/>
        <v>#DIV/0!</v>
      </c>
      <c r="H32" s="267" t="e">
        <f t="shared" si="19"/>
        <v>#DIV/0!</v>
      </c>
      <c r="I32" s="267" t="e">
        <f t="shared" si="19"/>
        <v>#DIV/0!</v>
      </c>
      <c r="J32" s="267" t="e">
        <f t="shared" si="19"/>
        <v>#DIV/0!</v>
      </c>
      <c r="K32" s="267" t="e">
        <f t="shared" si="19"/>
        <v>#DIV/0!</v>
      </c>
      <c r="L32" s="267" t="e">
        <f t="shared" si="19"/>
        <v>#DIV/0!</v>
      </c>
      <c r="M32" s="267" t="e">
        <f t="shared" si="19"/>
        <v>#DIV/0!</v>
      </c>
      <c r="N32" s="268" t="e">
        <f t="shared" si="19"/>
        <v>#DIV/0!</v>
      </c>
      <c r="O32" s="269">
        <f t="shared" si="19"/>
        <v>0.12701584145196809</v>
      </c>
      <c r="P32" s="270">
        <f t="shared" si="19"/>
        <v>0.10954051503588419</v>
      </c>
      <c r="Q32" s="270">
        <f t="shared" si="19"/>
        <v>9.5376858639972473E-2</v>
      </c>
      <c r="R32" s="270">
        <f t="shared" si="19"/>
        <v>7.5934260230061126E-2</v>
      </c>
      <c r="S32" s="270">
        <f t="shared" si="19"/>
        <v>0.17451494355752675</v>
      </c>
      <c r="T32" s="270">
        <f t="shared" si="19"/>
        <v>0.17491507702652195</v>
      </c>
      <c r="U32" s="270">
        <f t="shared" si="19"/>
        <v>0.17737012340673028</v>
      </c>
      <c r="V32" s="270">
        <f t="shared" si="19"/>
        <v>0.18266159330063003</v>
      </c>
      <c r="W32" s="270">
        <f t="shared" si="19"/>
        <v>0.17097327631443088</v>
      </c>
      <c r="X32" s="270">
        <f t="shared" si="19"/>
        <v>0.16883602544001003</v>
      </c>
      <c r="Y32" s="270">
        <f t="shared" si="19"/>
        <v>0.16097480842619416</v>
      </c>
      <c r="Z32" s="270">
        <f t="shared" si="19"/>
        <v>0.16728502001969167</v>
      </c>
      <c r="AA32" s="270">
        <f t="shared" si="19"/>
        <v>0.16927218428122515</v>
      </c>
      <c r="AB32" s="270">
        <f t="shared" si="19"/>
        <v>0.16654187240944127</v>
      </c>
      <c r="AC32" s="270">
        <f t="shared" si="19"/>
        <v>0.16448142767819032</v>
      </c>
      <c r="AD32" s="270">
        <f t="shared" si="19"/>
        <v>0.16368755806093843</v>
      </c>
      <c r="AE32" s="270">
        <f t="shared" si="19"/>
        <v>0.16070267750501904</v>
      </c>
      <c r="AF32" s="270">
        <f t="shared" si="19"/>
        <v>0.15883941844143804</v>
      </c>
      <c r="AG32" s="270">
        <f t="shared" si="19"/>
        <v>0.15726580875122284</v>
      </c>
      <c r="AH32" s="271">
        <f t="shared" si="19"/>
        <v>0.15603835937810617</v>
      </c>
    </row>
    <row r="33" spans="2:34" x14ac:dyDescent="0.3">
      <c r="B33" s="338"/>
      <c r="C33" s="265" t="s">
        <v>127</v>
      </c>
      <c r="D33" s="266" t="e">
        <f>D30/D5</f>
        <v>#DIV/0!</v>
      </c>
      <c r="E33" s="267" t="e">
        <f t="shared" ref="E33:AH33" si="20">E30/E5</f>
        <v>#DIV/0!</v>
      </c>
      <c r="F33" s="267" t="e">
        <f t="shared" si="20"/>
        <v>#DIV/0!</v>
      </c>
      <c r="G33" s="267" t="e">
        <f t="shared" si="20"/>
        <v>#DIV/0!</v>
      </c>
      <c r="H33" s="267" t="e">
        <f t="shared" si="20"/>
        <v>#DIV/0!</v>
      </c>
      <c r="I33" s="267" t="e">
        <f t="shared" si="20"/>
        <v>#DIV/0!</v>
      </c>
      <c r="J33" s="267" t="e">
        <f t="shared" si="20"/>
        <v>#DIV/0!</v>
      </c>
      <c r="K33" s="267" t="e">
        <f t="shared" si="20"/>
        <v>#DIV/0!</v>
      </c>
      <c r="L33" s="267" t="e">
        <f t="shared" si="20"/>
        <v>#DIV/0!</v>
      </c>
      <c r="M33" s="267" t="e">
        <f t="shared" si="20"/>
        <v>#DIV/0!</v>
      </c>
      <c r="N33" s="268" t="e">
        <f t="shared" si="20"/>
        <v>#DIV/0!</v>
      </c>
      <c r="O33" s="269">
        <f t="shared" si="20"/>
        <v>6.4096791711125603E-2</v>
      </c>
      <c r="P33" s="270">
        <f t="shared" si="20"/>
        <v>4.4780935051424241E-2</v>
      </c>
      <c r="Q33" s="270">
        <f t="shared" si="20"/>
        <v>3.1798933352386267E-2</v>
      </c>
      <c r="R33" s="270">
        <f t="shared" si="20"/>
        <v>2.6949043851291883E-2</v>
      </c>
      <c r="S33" s="270">
        <f t="shared" si="20"/>
        <v>7.0586974634627112E-2</v>
      </c>
      <c r="T33" s="270">
        <f t="shared" si="20"/>
        <v>7.5784128040573509E-2</v>
      </c>
      <c r="U33" s="270">
        <f t="shared" si="20"/>
        <v>9.4601036295527324E-2</v>
      </c>
      <c r="V33" s="270">
        <f t="shared" si="20"/>
        <v>8.0017433504389876E-2</v>
      </c>
      <c r="W33" s="270">
        <f t="shared" si="20"/>
        <v>7.3329898001523203E-2</v>
      </c>
      <c r="X33" s="270">
        <f t="shared" si="20"/>
        <v>7.598223600780632E-2</v>
      </c>
      <c r="Y33" s="270">
        <f t="shared" si="20"/>
        <v>7.3748171368127155E-2</v>
      </c>
      <c r="Z33" s="270">
        <f t="shared" si="20"/>
        <v>7.6626219643563753E-2</v>
      </c>
      <c r="AA33" s="270">
        <f t="shared" si="20"/>
        <v>7.7174217881780804E-2</v>
      </c>
      <c r="AB33" s="270">
        <f t="shared" si="20"/>
        <v>7.9742050825964278E-2</v>
      </c>
      <c r="AC33" s="270">
        <f t="shared" si="20"/>
        <v>8.3785252369474414E-2</v>
      </c>
      <c r="AD33" s="270">
        <f t="shared" si="20"/>
        <v>8.1263374822670723E-2</v>
      </c>
      <c r="AE33" s="270">
        <f t="shared" si="20"/>
        <v>8.2961698916493326E-2</v>
      </c>
      <c r="AF33" s="270">
        <f t="shared" si="20"/>
        <v>8.4384627514106136E-2</v>
      </c>
      <c r="AG33" s="270">
        <f t="shared" si="20"/>
        <v>8.474087416980304E-2</v>
      </c>
      <c r="AH33" s="271">
        <f t="shared" si="20"/>
        <v>8.5797833592479902E-2</v>
      </c>
    </row>
    <row r="34" spans="2:34" x14ac:dyDescent="0.3">
      <c r="B34" s="338"/>
      <c r="C34" s="265" t="s">
        <v>137</v>
      </c>
      <c r="D34" s="266"/>
      <c r="E34" s="267"/>
      <c r="F34" s="267"/>
      <c r="G34" s="267"/>
      <c r="H34" s="267"/>
      <c r="I34" s="267"/>
      <c r="J34" s="267"/>
      <c r="K34" s="267"/>
      <c r="L34" s="267"/>
      <c r="M34" s="267"/>
      <c r="N34" s="268"/>
      <c r="O34" s="317"/>
      <c r="P34" s="316"/>
      <c r="Q34" s="316"/>
      <c r="R34" s="316"/>
      <c r="S34" s="316"/>
      <c r="T34" s="316"/>
      <c r="U34" s="316"/>
      <c r="V34" s="316"/>
      <c r="W34" s="316"/>
      <c r="X34" s="316"/>
      <c r="Y34" s="270">
        <f>Y30/Y6</f>
        <v>1.0339849591644244E-2</v>
      </c>
      <c r="Z34" s="270">
        <f t="shared" ref="Z34:AH34" si="21">Z30/Z6</f>
        <v>1.0508672473586859E-2</v>
      </c>
      <c r="AA34" s="270">
        <f t="shared" si="21"/>
        <v>1.0860291785367708E-2</v>
      </c>
      <c r="AB34" s="270">
        <f t="shared" si="21"/>
        <v>1.0974951339019292E-2</v>
      </c>
      <c r="AC34" s="270">
        <f t="shared" si="21"/>
        <v>1.1050073604875693E-2</v>
      </c>
      <c r="AD34" s="270">
        <f t="shared" si="21"/>
        <v>1.0616693593880684E-2</v>
      </c>
      <c r="AE34" s="270">
        <f t="shared" si="21"/>
        <v>1.0613249149650568E-2</v>
      </c>
      <c r="AF34" s="270">
        <f t="shared" si="21"/>
        <v>1.1334696248169011E-2</v>
      </c>
      <c r="AG34" s="270">
        <f t="shared" si="21"/>
        <v>1.25297624272773E-2</v>
      </c>
      <c r="AH34" s="271">
        <f t="shared" si="21"/>
        <v>1.2956668786470716E-2</v>
      </c>
    </row>
    <row r="35" spans="2:34" x14ac:dyDescent="0.3">
      <c r="B35" s="339"/>
      <c r="C35" s="272" t="s">
        <v>132</v>
      </c>
      <c r="D35" s="273" t="e">
        <f t="shared" ref="D35:N35" si="22">D30/D7</f>
        <v>#DIV/0!</v>
      </c>
      <c r="E35" s="274" t="e">
        <f t="shared" si="22"/>
        <v>#DIV/0!</v>
      </c>
      <c r="F35" s="274" t="e">
        <f t="shared" si="22"/>
        <v>#DIV/0!</v>
      </c>
      <c r="G35" s="274" t="e">
        <f t="shared" si="22"/>
        <v>#DIV/0!</v>
      </c>
      <c r="H35" s="274" t="e">
        <f t="shared" si="22"/>
        <v>#DIV/0!</v>
      </c>
      <c r="I35" s="274" t="e">
        <f t="shared" si="22"/>
        <v>#DIV/0!</v>
      </c>
      <c r="J35" s="274" t="e">
        <f t="shared" si="22"/>
        <v>#DIV/0!</v>
      </c>
      <c r="K35" s="274" t="e">
        <f t="shared" si="22"/>
        <v>#DIV/0!</v>
      </c>
      <c r="L35" s="274" t="e">
        <f t="shared" si="22"/>
        <v>#DIV/0!</v>
      </c>
      <c r="M35" s="274" t="e">
        <f t="shared" si="22"/>
        <v>#DIV/0!</v>
      </c>
      <c r="N35" s="275" t="e">
        <f t="shared" si="22"/>
        <v>#DIV/0!</v>
      </c>
      <c r="O35" s="202"/>
      <c r="P35" s="191"/>
      <c r="Q35" s="191"/>
      <c r="R35" s="191"/>
      <c r="S35" s="191"/>
      <c r="T35" s="191"/>
      <c r="U35" s="191"/>
      <c r="V35" s="191"/>
      <c r="W35" s="191"/>
      <c r="X35" s="191"/>
      <c r="Y35" s="276">
        <f t="shared" ref="Y35:AH35" si="23">Y30/Y7</f>
        <v>5.8602573008788537E-3</v>
      </c>
      <c r="Z35" s="276">
        <f t="shared" si="23"/>
        <v>6.0797593503117246E-3</v>
      </c>
      <c r="AA35" s="276">
        <f t="shared" si="23"/>
        <v>6.3035549893222208E-3</v>
      </c>
      <c r="AB35" s="276">
        <f t="shared" si="23"/>
        <v>6.4673314610719651E-3</v>
      </c>
      <c r="AC35" s="276">
        <f t="shared" si="23"/>
        <v>6.4309037016210347E-3</v>
      </c>
      <c r="AD35" s="276">
        <f t="shared" si="23"/>
        <v>6.4344212231380689E-3</v>
      </c>
      <c r="AE35" s="276">
        <f t="shared" si="23"/>
        <v>6.3106396512243122E-3</v>
      </c>
      <c r="AF35" s="276">
        <f t="shared" si="23"/>
        <v>6.8504908229060314E-3</v>
      </c>
      <c r="AG35" s="276">
        <f t="shared" si="23"/>
        <v>7.3851156834716441E-3</v>
      </c>
      <c r="AH35" s="277">
        <f t="shared" si="23"/>
        <v>7.6101274592368581E-3</v>
      </c>
    </row>
    <row r="37" spans="2:34" x14ac:dyDescent="0.3">
      <c r="C37" s="82" t="s">
        <v>128</v>
      </c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</row>
    <row r="38" spans="2:34" x14ac:dyDescent="0.3">
      <c r="C38" s="81" t="s">
        <v>138</v>
      </c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</row>
    <row r="39" spans="2:34" x14ac:dyDescent="0.3">
      <c r="C39" s="81" t="s">
        <v>139</v>
      </c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</row>
    <row r="40" spans="2:34" x14ac:dyDescent="0.3">
      <c r="C40" s="81" t="s">
        <v>129</v>
      </c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</row>
  </sheetData>
  <mergeCells count="5">
    <mergeCell ref="B8:B14"/>
    <mergeCell ref="B22:B28"/>
    <mergeCell ref="O23:R28"/>
    <mergeCell ref="B15:B21"/>
    <mergeCell ref="B29:B3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B16"/>
  <sheetViews>
    <sheetView workbookViewId="0">
      <selection activeCell="D6" sqref="D6"/>
    </sheetView>
  </sheetViews>
  <sheetFormatPr defaultRowHeight="14.5" x14ac:dyDescent="0.35"/>
  <cols>
    <col min="1" max="1" width="25.453125" customWidth="1"/>
    <col min="2" max="2" width="44.453125" customWidth="1"/>
  </cols>
  <sheetData>
    <row r="1" spans="1:2" x14ac:dyDescent="0.35">
      <c r="A1" s="45" t="s">
        <v>33</v>
      </c>
      <c r="B1" s="45" t="s">
        <v>46</v>
      </c>
    </row>
    <row r="2" spans="1:2" ht="43.5" x14ac:dyDescent="0.35">
      <c r="A2" s="44" t="s">
        <v>16</v>
      </c>
      <c r="B2" s="44" t="s">
        <v>38</v>
      </c>
    </row>
    <row r="3" spans="1:2" ht="58" x14ac:dyDescent="0.35">
      <c r="A3" s="44" t="s">
        <v>32</v>
      </c>
      <c r="B3" s="44" t="s">
        <v>39</v>
      </c>
    </row>
    <row r="4" spans="1:2" x14ac:dyDescent="0.35">
      <c r="A4" s="44" t="s">
        <v>15</v>
      </c>
      <c r="B4" s="44" t="s">
        <v>37</v>
      </c>
    </row>
    <row r="5" spans="1:2" x14ac:dyDescent="0.35">
      <c r="A5" s="44" t="s">
        <v>28</v>
      </c>
      <c r="B5" s="44" t="s">
        <v>28</v>
      </c>
    </row>
    <row r="6" spans="1:2" x14ac:dyDescent="0.35">
      <c r="A6" s="44" t="s">
        <v>27</v>
      </c>
      <c r="B6" s="44" t="s">
        <v>40</v>
      </c>
    </row>
    <row r="7" spans="1:2" x14ac:dyDescent="0.35">
      <c r="A7" s="44" t="s">
        <v>26</v>
      </c>
      <c r="B7" s="44" t="s">
        <v>26</v>
      </c>
    </row>
    <row r="8" spans="1:2" x14ac:dyDescent="0.35">
      <c r="A8" s="44" t="s">
        <v>29</v>
      </c>
      <c r="B8" s="44" t="s">
        <v>42</v>
      </c>
    </row>
    <row r="9" spans="1:2" x14ac:dyDescent="0.35">
      <c r="A9" s="44" t="s">
        <v>20</v>
      </c>
      <c r="B9" s="44" t="s">
        <v>41</v>
      </c>
    </row>
    <row r="10" spans="1:2" x14ac:dyDescent="0.35">
      <c r="A10" s="44" t="s">
        <v>31</v>
      </c>
      <c r="B10" s="44" t="s">
        <v>31</v>
      </c>
    </row>
    <row r="11" spans="1:2" ht="29" x14ac:dyDescent="0.35">
      <c r="A11" s="44" t="s">
        <v>30</v>
      </c>
      <c r="B11" s="44" t="s">
        <v>35</v>
      </c>
    </row>
    <row r="12" spans="1:2" ht="29" x14ac:dyDescent="0.35">
      <c r="A12" s="44" t="s">
        <v>11</v>
      </c>
      <c r="B12" s="44" t="s">
        <v>34</v>
      </c>
    </row>
    <row r="13" spans="1:2" x14ac:dyDescent="0.35">
      <c r="A13" s="44" t="s">
        <v>13</v>
      </c>
      <c r="B13" s="44" t="s">
        <v>47</v>
      </c>
    </row>
    <row r="14" spans="1:2" ht="29" x14ac:dyDescent="0.35">
      <c r="A14" s="44"/>
      <c r="B14" s="44" t="s">
        <v>48</v>
      </c>
    </row>
    <row r="15" spans="1:2" x14ac:dyDescent="0.35">
      <c r="A15" s="44" t="s">
        <v>12</v>
      </c>
      <c r="B15" s="44" t="s">
        <v>49</v>
      </c>
    </row>
    <row r="16" spans="1:2" x14ac:dyDescent="0.35">
      <c r="A16" s="44" t="s">
        <v>14</v>
      </c>
      <c r="B16" s="44" t="s">
        <v>36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A, H and I</vt:lpstr>
      <vt:lpstr>B_SRD</vt:lpstr>
      <vt:lpstr>C_School fee subsidies</vt:lpstr>
      <vt:lpstr>D_NSFAS</vt:lpstr>
      <vt:lpstr>E, F, G_FBS</vt:lpstr>
      <vt:lpstr>Item descriptions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Jeffery Smith</dc:creator>
  <cp:lastModifiedBy>Nokwanda Mahori</cp:lastModifiedBy>
  <dcterms:created xsi:type="dcterms:W3CDTF">2022-03-17T20:21:20Z</dcterms:created>
  <dcterms:modified xsi:type="dcterms:W3CDTF">2022-07-06T13:44:36Z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c4247e-447d-4732-af29-2e529a4288f1_Enabled">
    <vt:lpwstr>true</vt:lpwstr>
  </property>
  <property fmtid="{D5CDD505-2E9C-101B-9397-08002B2CF9AE}" pid="3" name="MSIP_Label_93c4247e-447d-4732-af29-2e529a4288f1_SetDate">
    <vt:lpwstr>2022-03-17T20:21:20Z</vt:lpwstr>
  </property>
  <property fmtid="{D5CDD505-2E9C-101B-9397-08002B2CF9AE}" pid="4" name="MSIP_Label_93c4247e-447d-4732-af29-2e529a4288f1_Method">
    <vt:lpwstr>Standard</vt:lpwstr>
  </property>
  <property fmtid="{D5CDD505-2E9C-101B-9397-08002B2CF9AE}" pid="5" name="MSIP_Label_93c4247e-447d-4732-af29-2e529a4288f1_Name">
    <vt:lpwstr>93c4247e-447d-4732-af29-2e529a4288f1</vt:lpwstr>
  </property>
  <property fmtid="{D5CDD505-2E9C-101B-9397-08002B2CF9AE}" pid="6" name="MSIP_Label_93c4247e-447d-4732-af29-2e529a4288f1_SiteId">
    <vt:lpwstr>1a45348f-02b4-4f9a-a7a8-7786f6dd3245</vt:lpwstr>
  </property>
  <property fmtid="{D5CDD505-2E9C-101B-9397-08002B2CF9AE}" pid="7" name="MSIP_Label_93c4247e-447d-4732-af29-2e529a4288f1_ActionId">
    <vt:lpwstr>cfe7f570-09fd-4668-aa20-99ea07ce4d9c</vt:lpwstr>
  </property>
  <property fmtid="{D5CDD505-2E9C-101B-9397-08002B2CF9AE}" pid="8" name="MSIP_Label_93c4247e-447d-4732-af29-2e529a4288f1_ContentBits">
    <vt:lpwstr>0</vt:lpwstr>
  </property>
</Properties>
</file>